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https://slcounty.sharepoint.com/sites/CJI/Shared Documents/Legislative Session 2024/"/>
    </mc:Choice>
  </mc:AlternateContent>
  <xr:revisionPtr revIDLastSave="0" documentId="8_{BF94BBEC-66C4-4427-BFEA-01F3AB06D0A4}" xr6:coauthVersionLast="47" xr6:coauthVersionMax="47" xr10:uidLastSave="{00000000-0000-0000-0000-000000000000}"/>
  <bookViews>
    <workbookView xWindow="-28920" yWindow="-15" windowWidth="29040" windowHeight="15720" xr2:uid="{B685292E-E954-489A-A7CD-82251388D90F}"/>
  </bookViews>
  <sheets>
    <sheet name="SLVCEH Bill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C12" i="1"/>
  <c r="D12" i="1"/>
  <c r="E12" i="1"/>
  <c r="F12" i="1"/>
  <c r="G12" i="1"/>
  <c r="H12" i="1"/>
  <c r="J12" i="1"/>
  <c r="K12" i="1"/>
  <c r="L12" i="1"/>
  <c r="M12" i="1"/>
  <c r="B5" i="1" l="1"/>
  <c r="C5" i="1"/>
  <c r="D5" i="1"/>
  <c r="E5" i="1"/>
  <c r="F5" i="1"/>
  <c r="G5" i="1"/>
  <c r="H5" i="1"/>
  <c r="L5" i="1"/>
  <c r="M5" i="1"/>
  <c r="J5" i="1"/>
  <c r="L21" i="1"/>
  <c r="M21" i="1"/>
  <c r="L18" i="1"/>
  <c r="M18" i="1"/>
  <c r="L15" i="1"/>
  <c r="M15" i="1"/>
  <c r="B15" i="1"/>
  <c r="C15" i="1"/>
  <c r="D15" i="1"/>
  <c r="E15" i="1"/>
  <c r="J15" i="1"/>
  <c r="K15" i="1"/>
  <c r="F15" i="1"/>
  <c r="G15" i="1"/>
  <c r="H15" i="1"/>
  <c r="L29" i="1"/>
  <c r="L11" i="1"/>
  <c r="L16" i="1"/>
  <c r="L30" i="1"/>
  <c r="L8" i="1"/>
  <c r="L27" i="1"/>
  <c r="L19" i="1"/>
  <c r="L4" i="1"/>
  <c r="L3" i="1"/>
  <c r="L13" i="1"/>
  <c r="L22" i="1"/>
  <c r="L26" i="1"/>
  <c r="L28" i="1"/>
  <c r="L9" i="1"/>
  <c r="L24" i="1"/>
  <c r="L23" i="1"/>
  <c r="L14" i="1"/>
  <c r="L20" i="1"/>
  <c r="L6" i="1"/>
  <c r="L7" i="1"/>
  <c r="L17" i="1"/>
  <c r="L10" i="1"/>
  <c r="L31" i="1"/>
  <c r="L25" i="1"/>
  <c r="M14" i="1"/>
  <c r="M23" i="1"/>
  <c r="M9" i="1"/>
  <c r="M22" i="1"/>
  <c r="M19" i="1"/>
  <c r="M8" i="1"/>
  <c r="M31" i="1"/>
  <c r="M30" i="1"/>
  <c r="M24" i="1"/>
  <c r="M28" i="1"/>
  <c r="M27" i="1"/>
  <c r="M11" i="1"/>
  <c r="M29" i="1"/>
  <c r="M25" i="1"/>
  <c r="M20" i="1"/>
  <c r="M17" i="1"/>
  <c r="M16" i="1"/>
  <c r="M10" i="1"/>
  <c r="M7" i="1"/>
  <c r="M6" i="1"/>
  <c r="M13" i="1"/>
  <c r="M4" i="1"/>
  <c r="M26" i="1"/>
  <c r="M3" i="1"/>
  <c r="E1" i="1"/>
  <c r="C14" i="1"/>
  <c r="D14" i="1"/>
  <c r="E14" i="1"/>
  <c r="J14" i="1"/>
  <c r="K14" i="1"/>
  <c r="F14" i="1"/>
  <c r="G14" i="1"/>
  <c r="H14" i="1"/>
  <c r="K5" i="1" l="1"/>
  <c r="B14" i="1"/>
  <c r="C23" i="1" l="1"/>
  <c r="D23" i="1"/>
  <c r="E23" i="1"/>
  <c r="J23" i="1"/>
  <c r="K23" i="1"/>
  <c r="F23" i="1"/>
  <c r="G23" i="1"/>
  <c r="H23" i="1"/>
  <c r="B23" i="1" l="1"/>
  <c r="J25" i="1"/>
  <c r="J24" i="1"/>
  <c r="H8" i="1"/>
  <c r="H19" i="1"/>
  <c r="H18" i="1"/>
  <c r="H21" i="1"/>
  <c r="H22" i="1"/>
  <c r="H9" i="1"/>
  <c r="C9" i="1"/>
  <c r="D9" i="1"/>
  <c r="E9" i="1"/>
  <c r="J28" i="1"/>
  <c r="J9" i="1"/>
  <c r="K9" i="1"/>
  <c r="F9" i="1"/>
  <c r="G9" i="1"/>
  <c r="B9" i="1" l="1"/>
  <c r="D24" i="1"/>
  <c r="E25" i="1"/>
  <c r="D28" i="1"/>
  <c r="H17" i="1"/>
  <c r="H24" i="1"/>
  <c r="C24" i="1"/>
  <c r="H20" i="1"/>
  <c r="B24" i="1"/>
  <c r="D25" i="1"/>
  <c r="H16" i="1"/>
  <c r="F24" i="1"/>
  <c r="H25" i="1"/>
  <c r="C25" i="1"/>
  <c r="C28" i="1"/>
  <c r="H31" i="1"/>
  <c r="H6" i="1"/>
  <c r="K24" i="1"/>
  <c r="G25" i="1"/>
  <c r="B25" i="1"/>
  <c r="G24" i="1"/>
  <c r="H27" i="1"/>
  <c r="H10" i="1"/>
  <c r="H4" i="1"/>
  <c r="F25" i="1"/>
  <c r="F28" i="1"/>
  <c r="H7" i="1"/>
  <c r="K28" i="1"/>
  <c r="H13" i="1"/>
  <c r="H30" i="1"/>
  <c r="H11" i="1"/>
  <c r="H29" i="1"/>
  <c r="E24" i="1"/>
  <c r="K25" i="1"/>
  <c r="H26" i="1"/>
  <c r="E28" i="1"/>
  <c r="G28" i="1"/>
  <c r="B28" i="1"/>
  <c r="H28" i="1"/>
  <c r="H3" i="1"/>
  <c r="J26" i="1" l="1"/>
  <c r="J20" i="1"/>
  <c r="C26" i="1" l="1"/>
  <c r="F20" i="1"/>
  <c r="C20" i="1"/>
  <c r="G20" i="1"/>
  <c r="K20" i="1"/>
  <c r="E20" i="1"/>
  <c r="D20" i="1"/>
  <c r="B20" i="1"/>
  <c r="F26" i="1"/>
  <c r="G26" i="1"/>
  <c r="K26" i="1"/>
  <c r="E26" i="1"/>
  <c r="D26" i="1"/>
  <c r="B26" i="1"/>
  <c r="B3" i="1" l="1"/>
  <c r="B13" i="1"/>
  <c r="C21" i="1"/>
  <c r="C22" i="1"/>
  <c r="D21" i="1"/>
  <c r="D22" i="1"/>
  <c r="E21" i="1"/>
  <c r="E22" i="1"/>
  <c r="J21" i="1"/>
  <c r="J3" i="1"/>
  <c r="J13" i="1"/>
  <c r="J22" i="1"/>
  <c r="K21" i="1"/>
  <c r="K22" i="1"/>
  <c r="F21" i="1"/>
  <c r="F22" i="1"/>
  <c r="G21" i="1"/>
  <c r="G22" i="1"/>
  <c r="B21" i="1" l="1"/>
  <c r="B22" i="1"/>
  <c r="G13" i="1"/>
  <c r="K13" i="1"/>
  <c r="K3" i="1"/>
  <c r="C13" i="1"/>
  <c r="E13" i="1"/>
  <c r="C3" i="1"/>
  <c r="G3" i="1"/>
  <c r="F13" i="1"/>
  <c r="E3" i="1"/>
  <c r="D13" i="1"/>
  <c r="F3" i="1"/>
  <c r="D3" i="1"/>
  <c r="C19" i="1"/>
  <c r="C18" i="1"/>
  <c r="C4" i="1"/>
  <c r="D19" i="1"/>
  <c r="D18" i="1"/>
  <c r="D4" i="1"/>
  <c r="E19" i="1"/>
  <c r="E18" i="1"/>
  <c r="E4" i="1"/>
  <c r="J19" i="1"/>
  <c r="J18" i="1"/>
  <c r="J4" i="1"/>
  <c r="K19" i="1"/>
  <c r="K18" i="1"/>
  <c r="K4" i="1"/>
  <c r="F19" i="1"/>
  <c r="F18" i="1"/>
  <c r="F4" i="1"/>
  <c r="G19" i="1"/>
  <c r="G18" i="1"/>
  <c r="G4" i="1"/>
  <c r="J29" i="1"/>
  <c r="J11" i="1"/>
  <c r="J16" i="1"/>
  <c r="J30" i="1"/>
  <c r="J8" i="1"/>
  <c r="J27" i="1"/>
  <c r="J6" i="1"/>
  <c r="J7" i="1"/>
  <c r="J17" i="1"/>
  <c r="J10" i="1"/>
  <c r="J31" i="1"/>
  <c r="K8" i="1"/>
  <c r="B18" i="1" l="1"/>
  <c r="B19" i="1"/>
  <c r="B4" i="1"/>
  <c r="K16" i="1"/>
  <c r="K11" i="1"/>
  <c r="K29" i="1"/>
  <c r="K17" i="1"/>
  <c r="K7" i="1"/>
  <c r="K31" i="1"/>
  <c r="K6" i="1"/>
  <c r="K27" i="1"/>
  <c r="K10" i="1"/>
  <c r="K30" i="1"/>
  <c r="B30" i="1"/>
  <c r="B31" i="1"/>
  <c r="B10" i="1"/>
  <c r="B27" i="1"/>
  <c r="D8" i="1"/>
  <c r="C8" i="1"/>
  <c r="E8" i="1"/>
  <c r="F8" i="1"/>
  <c r="G8" i="1"/>
  <c r="B17" i="1"/>
  <c r="B8" i="1" l="1"/>
  <c r="C17" i="1"/>
  <c r="D7" i="1"/>
  <c r="D29" i="1"/>
  <c r="D27" i="1"/>
  <c r="G31" i="1"/>
  <c r="E30" i="1"/>
  <c r="D31" i="1"/>
  <c r="D6" i="1"/>
  <c r="E17" i="1"/>
  <c r="G27" i="1"/>
  <c r="C27" i="1"/>
  <c r="G10" i="1"/>
  <c r="D10" i="1"/>
  <c r="F31" i="1"/>
  <c r="C31" i="1"/>
  <c r="D11" i="1"/>
  <c r="F17" i="1"/>
  <c r="F27" i="1"/>
  <c r="F10" i="1"/>
  <c r="C10" i="1"/>
  <c r="G30" i="1"/>
  <c r="E31" i="1"/>
  <c r="D30" i="1"/>
  <c r="D16" i="1"/>
  <c r="G17" i="1"/>
  <c r="D17" i="1"/>
  <c r="E27" i="1"/>
  <c r="E10" i="1"/>
  <c r="F30" i="1"/>
  <c r="C30" i="1"/>
  <c r="B11" i="1"/>
  <c r="B16" i="1"/>
  <c r="B7" i="1"/>
  <c r="B6" i="1"/>
  <c r="C6" i="1" l="1"/>
  <c r="F16" i="1"/>
  <c r="E29" i="1"/>
  <c r="C7" i="1"/>
  <c r="E11" i="1"/>
  <c r="E7" i="1"/>
  <c r="F11" i="1"/>
  <c r="F7" i="1"/>
  <c r="E6" i="1"/>
  <c r="F29" i="1"/>
  <c r="G16" i="1"/>
  <c r="B29" i="1"/>
  <c r="G7" i="1"/>
  <c r="E16" i="1"/>
  <c r="F6" i="1"/>
  <c r="G29" i="1"/>
  <c r="G11" i="1"/>
  <c r="C16" i="1"/>
  <c r="G6" i="1"/>
  <c r="C29" i="1"/>
  <c r="C11" i="1"/>
</calcChain>
</file>

<file path=xl/sharedStrings.xml><?xml version="1.0" encoding="utf-8"?>
<sst xmlns="http://schemas.openxmlformats.org/spreadsheetml/2006/main" count="45" uniqueCount="45">
  <si>
    <t>SLVCEH Bills</t>
  </si>
  <si>
    <t>Bill ID</t>
  </si>
  <si>
    <t>Name</t>
  </si>
  <si>
    <t>Description</t>
  </si>
  <si>
    <t>Provisions</t>
  </si>
  <si>
    <t>Status</t>
  </si>
  <si>
    <t>Bill Sponsor</t>
  </si>
  <si>
    <t>Floor Sponsor</t>
  </si>
  <si>
    <t>On Committee Agenda</t>
  </si>
  <si>
    <t>Weight</t>
  </si>
  <si>
    <t>Supporting</t>
  </si>
  <si>
    <t>Opposing</t>
  </si>
  <si>
    <t>Issue Areas</t>
  </si>
  <si>
    <t>Notes</t>
  </si>
  <si>
    <t>Next Steps</t>
  </si>
  <si>
    <t>HB0298</t>
  </si>
  <si>
    <t>Note opposition from ULCT. 
Much is expected to change regarding data expectations, UHC makeup, and code blue protocol. 
Open towards more inclusion on UHC from statewide stakeholders.</t>
  </si>
  <si>
    <t>HB0257</t>
  </si>
  <si>
    <t>HB0421</t>
  </si>
  <si>
    <t>SB0026</t>
  </si>
  <si>
    <t>SB0027</t>
  </si>
  <si>
    <t>HB0141</t>
  </si>
  <si>
    <t>HB0321</t>
  </si>
  <si>
    <t>SB0060</t>
  </si>
  <si>
    <t>HB0068</t>
  </si>
  <si>
    <t>SB0116</t>
  </si>
  <si>
    <t>HB0299</t>
  </si>
  <si>
    <t>HB0386</t>
  </si>
  <si>
    <t>HB0394</t>
  </si>
  <si>
    <t>HB0071</t>
  </si>
  <si>
    <t>SB0046</t>
  </si>
  <si>
    <t>HB0211</t>
  </si>
  <si>
    <t>HB0203</t>
  </si>
  <si>
    <t>HJR013</t>
  </si>
  <si>
    <t>HB0273</t>
  </si>
  <si>
    <t>HB0306</t>
  </si>
  <si>
    <t>HB0355</t>
  </si>
  <si>
    <t>HB0352</t>
  </si>
  <si>
    <t>SB0130</t>
  </si>
  <si>
    <t>HB0314</t>
  </si>
  <si>
    <t>HB0181</t>
  </si>
  <si>
    <t>HB0316</t>
  </si>
  <si>
    <t>HB0014</t>
  </si>
  <si>
    <t>HB0106</t>
  </si>
  <si>
    <t>SB0061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</si>
</sst>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0"/>
      <name val="Calibri"/>
      <family val="2"/>
      <scheme val="minor"/>
    </font>
    <font>
      <sz val="18"/>
      <color theme="1"/>
      <name val="Calibri"/>
      <family val="2"/>
      <scheme val="minor"/>
    </font>
    <font>
      <sz val="14"/>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8"/>
        <bgColor theme="8"/>
      </patternFill>
    </fill>
  </fills>
  <borders count="3">
    <border>
      <left/>
      <right/>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14" fontId="3" fillId="0" borderId="0" xfId="0" applyNumberFormat="1" applyFont="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vertical="top"/>
    </xf>
    <xf numFmtId="0" fontId="1" fillId="2" borderId="2" xfId="0" applyFont="1" applyFill="1" applyBorder="1" applyAlignment="1">
      <alignment vertical="top" wrapText="1"/>
    </xf>
    <xf numFmtId="0" fontId="1" fillId="2" borderId="2" xfId="0" applyFont="1" applyFill="1" applyBorder="1" applyAlignment="1">
      <alignment horizontal="left" vertical="top" wrapText="1"/>
    </xf>
    <xf numFmtId="0" fontId="4" fillId="0" borderId="0" xfId="1" applyAlignment="1">
      <alignment vertical="top"/>
    </xf>
    <xf numFmtId="0" fontId="0" fillId="0" borderId="0" xfId="0" applyNumberFormat="1" applyAlignment="1">
      <alignment vertical="top"/>
    </xf>
    <xf numFmtId="0" fontId="0" fillId="0" borderId="0" xfId="0" applyNumberFormat="1" applyAlignment="1">
      <alignment vertical="top" wrapText="1"/>
    </xf>
    <xf numFmtId="0" fontId="0" fillId="0" borderId="0" xfId="0" applyNumberFormat="1" applyAlignment="1">
      <alignment horizontal="left" vertical="top" wrapText="1"/>
    </xf>
    <xf numFmtId="0" fontId="0" fillId="0" borderId="0" xfId="0" applyAlignment="1">
      <alignment horizontal="center" vertical="top"/>
    </xf>
    <xf numFmtId="0" fontId="2" fillId="0" borderId="0" xfId="0" applyFont="1" applyAlignment="1">
      <alignment horizontal="center" vertical="center"/>
    </xf>
  </cellXfs>
  <cellStyles count="2">
    <cellStyle name="Hyperlink" xfId="1" builtinId="8"/>
    <cellStyle name="Normal" xfId="0" builtinId="0"/>
  </cellStyles>
  <dxfs count="18">
    <dxf>
      <alignment vertical="top" textRotation="0" indent="0" justifyLastLine="0" shrinkToFit="0" readingOrder="0"/>
    </dxf>
    <dxf>
      <numFmt numFmtId="0" formatCode="General"/>
      <alignment horizontal="general"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vertical="top" textRotation="0" indent="0" justifyLastLine="0" shrinkToFit="0" readingOrder="0"/>
    </dxf>
    <dxf>
      <alignment vertical="top" textRotation="0" wrapText="0" indent="0" justifyLastLine="0" shrinkToFit="0" readingOrder="0"/>
    </dxf>
    <dxf>
      <border outline="0">
        <bottom style="thin">
          <color theme="8" tint="0.39997558519241921"/>
        </bottom>
      </border>
    </dxf>
    <dxf>
      <border outline="0">
        <top style="thin">
          <color theme="8" tint="0.39997558519241921"/>
        </top>
      </border>
    </dxf>
    <dxf>
      <alignment vertical="top"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8"/>
          <bgColor theme="8"/>
        </patternFill>
      </fill>
      <alignmen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73025</xdr:rowOff>
    </xdr:from>
    <xdr:to>
      <xdr:col>1</xdr:col>
      <xdr:colOff>1911655</xdr:colOff>
      <xdr:row>0</xdr:row>
      <xdr:rowOff>884442</xdr:rowOff>
    </xdr:to>
    <xdr:pic>
      <xdr:nvPicPr>
        <xdr:cNvPr id="2" name="Picture 1">
          <a:extLst>
            <a:ext uri="{FF2B5EF4-FFF2-40B4-BE49-F238E27FC236}">
              <a16:creationId xmlns:a16="http://schemas.microsoft.com/office/drawing/2014/main" id="{14C86517-64D1-4B7A-8407-BA2863D6D2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73025"/>
          <a:ext cx="2559355" cy="811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lcounty.sharepoint.com/sites/CJI/Shared%20Documents/Legislative%20Session%202024/INTERNAL%202024%20Bill%20Tracker_OHCJR.xlsx" TargetMode="External"/><Relationship Id="rId1" Type="http://schemas.openxmlformats.org/officeDocument/2006/relationships/externalLinkPath" Target="INTERNAL%202024%20Bill%20Tracker_OHCJ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LVCEH Bills"/>
      <sheetName val="Bill Tracker"/>
      <sheetName val="Issue Areas"/>
      <sheetName val="Stakeholders"/>
      <sheetName val="Positions"/>
      <sheetName val="Legislators"/>
      <sheetName val="Issue Areas Lookup"/>
      <sheetName val="Stakeholders Lookup"/>
      <sheetName val="Bill List"/>
      <sheetName val="Data Validation"/>
      <sheetName val="leg_query"/>
      <sheetName val="bills_query"/>
      <sheetName val="INTERNAL 2024 Bill Tracker_OHC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EE454C-12A8-4A49-9480-74D75FD7C0E9}" name="Table2" displayName="Table2" ref="A2:N31" totalsRowShown="0" headerRowDxfId="17" dataDxfId="16" headerRowBorderDxfId="14" tableBorderDxfId="15">
  <autoFilter ref="A2:N31" xr:uid="{F1365BA8-F2A6-40A0-848C-DCBFA8FA7E0A}"/>
  <sortState xmlns:xlrd2="http://schemas.microsoft.com/office/spreadsheetml/2017/richdata2" ref="A3:N31">
    <sortCondition descending="1" ref="I2:I31"/>
  </sortState>
  <tableColumns count="14">
    <tableColumn id="1" xr3:uid="{8E1C916B-DB23-4984-81F3-119933821D1E}" name="Bill ID" dataDxfId="13"/>
    <tableColumn id="2" xr3:uid="{3E864EB0-9C1D-447A-A924-9BAEA772A11B}" name="Name" dataDxfId="12">
      <calculatedColumnFormula>VLOOKUP(Table2[[#This Row],[Bill ID]], [1]!Bills[#Data], 2, FALSE)</calculatedColumnFormula>
    </tableColumn>
    <tableColumn id="9" xr3:uid="{3C257B3D-96DF-4041-9AB4-8736FD6CAF23}" name="Description" dataDxfId="11">
      <calculatedColumnFormula>VLOOKUP(Table2[[#This Row],[Bill ID]], [1]!Bills[#Data], 3, FALSE)</calculatedColumnFormula>
    </tableColumn>
    <tableColumn id="10" xr3:uid="{A4C08702-476A-4EF1-A9ED-D9FC7BC60CE5}" name="Provisions" dataDxfId="10">
      <calculatedColumnFormula>VLOOKUP(Table2[[#This Row],[Bill ID]], [1]!Bills[#Data], 4, FALSE)</calculatedColumnFormula>
    </tableColumn>
    <tableColumn id="13" xr3:uid="{DF698D76-F698-46BF-91BE-343F479304A8}" name="Status" dataDxfId="9">
      <calculatedColumnFormula>VLOOKUP(Table2[[#This Row],[Bill ID]], [1]!Bills[#Data], 7, FALSE)</calculatedColumnFormula>
    </tableColumn>
    <tableColumn id="8" xr3:uid="{96981FAE-F244-4CC5-83EF-1879550583A8}" name="Bill Sponsor" dataDxfId="8">
      <calculatedColumnFormula>VLOOKUP(Table2[[#This Row],[Bill ID]], [1]!Bills[#Data], 10, FALSE)</calculatedColumnFormula>
    </tableColumn>
    <tableColumn id="7" xr3:uid="{3BA03967-18C6-4026-9220-DF3FB5516AC1}" name="Floor Sponsor" dataDxfId="7">
      <calculatedColumnFormula>VLOOKUP(Table2[[#This Row],[Bill ID]], [1]!Bills[#Data], 11, FALSE)</calculatedColumnFormula>
    </tableColumn>
    <tableColumn id="6" xr3:uid="{567349F5-4D46-4BFC-A619-3B46CCB18E4F}" name="On Committee Agenda" dataDxfId="6">
      <calculatedColumnFormula>IF(VLOOKUP(Table2[[#This Row],[Bill ID]], [1]!Bills[#Data], 14, FALSE)=0, "", VLOOKUP(Table2[[#This Row],[Bill ID]], [1]!Bills[#Data], 14, FALSE))</calculatedColumnFormula>
    </tableColumn>
    <tableColumn id="11" xr3:uid="{DCC1BDB7-F188-4A4B-AB42-D7E30C6EC688}" name="Weight" dataDxfId="5"/>
    <tableColumn id="5" xr3:uid="{C3262CA5-A958-434D-B09B-E4DE8650D766}" name="Supporting" dataDxfId="4">
      <calculatedColumnFormula>VLOOKUP(Table2[[#This Row],[Bill ID]], [1]!Bills[#Data], 8, FALSE)</calculatedColumnFormula>
    </tableColumn>
    <tableColumn id="4" xr3:uid="{E80FE7E6-798F-4608-A86C-2FE5CF97403E}" name="Opposing" dataDxfId="3">
      <calculatedColumnFormula>VLOOKUP(Table2[[#This Row],[Bill ID]], [1]!Bills[#Data], 9, FALSE)</calculatedColumnFormula>
    </tableColumn>
    <tableColumn id="14" xr3:uid="{235EF259-28CC-4065-9F4D-D9F1CFAAA1B9}" name="Issue Areas" dataDxfId="2">
      <calculatedColumnFormula>VLOOKUP(Table2[[#This Row],[Bill ID]], [1]!Bills[#Data], 6, FALSE)</calculatedColumnFormula>
    </tableColumn>
    <tableColumn id="12" xr3:uid="{B801B514-01C6-4AB2-9919-926E870F2347}" name="Notes" dataDxfId="1">
      <calculatedColumnFormula>IF(VLOOKUP(Table2[[#This Row],[Bill ID]], [1]!Bills[#Data], 15, FALSE)=0, "", VLOOKUP(Table2[[#This Row],[Bill ID]], [1]!Bills[#Data], 15, FALSE))</calculatedColumnFormula>
    </tableColumn>
    <tableColumn id="3" xr3:uid="{32E6F90F-D684-4D73-848D-D56473B9434B}" name="Next Step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e.utah.gov/~2024/bills/static/HB0257.html" TargetMode="External"/><Relationship Id="rId13" Type="http://schemas.openxmlformats.org/officeDocument/2006/relationships/hyperlink" Target="https://le.utah.gov/~2024/bills/static/HB0316.html" TargetMode="External"/><Relationship Id="rId18" Type="http://schemas.openxmlformats.org/officeDocument/2006/relationships/hyperlink" Target="https://le.utah.gov/~2024/bills/static/HJR013.html" TargetMode="External"/><Relationship Id="rId26" Type="http://schemas.openxmlformats.org/officeDocument/2006/relationships/hyperlink" Target="https://le.utah.gov/~2024/bills/static/HB0211.html" TargetMode="External"/><Relationship Id="rId3" Type="http://schemas.openxmlformats.org/officeDocument/2006/relationships/hyperlink" Target="https://le.utah.gov/~2024/bills/static/HB0071.html" TargetMode="External"/><Relationship Id="rId21" Type="http://schemas.openxmlformats.org/officeDocument/2006/relationships/hyperlink" Target="https://le.utah.gov/~2024/bills/static/SB0046.html" TargetMode="External"/><Relationship Id="rId7" Type="http://schemas.openxmlformats.org/officeDocument/2006/relationships/hyperlink" Target="https://le.utah.gov/~2024/bills/static/HB0203.html" TargetMode="External"/><Relationship Id="rId12" Type="http://schemas.openxmlformats.org/officeDocument/2006/relationships/hyperlink" Target="https://le.utah.gov/~2024/bills/static/HB0314.html" TargetMode="External"/><Relationship Id="rId17" Type="http://schemas.openxmlformats.org/officeDocument/2006/relationships/hyperlink" Target="https://le.utah.gov/~2024/bills/static/HB0386.html" TargetMode="External"/><Relationship Id="rId25" Type="http://schemas.openxmlformats.org/officeDocument/2006/relationships/hyperlink" Target="https://le.utah.gov/~2024/bills/static/HB0394.html" TargetMode="External"/><Relationship Id="rId2" Type="http://schemas.openxmlformats.org/officeDocument/2006/relationships/hyperlink" Target="https://le.utah.gov/~2024/bills/static/HB0068.html" TargetMode="External"/><Relationship Id="rId16" Type="http://schemas.openxmlformats.org/officeDocument/2006/relationships/hyperlink" Target="https://le.utah.gov/~2024/bills/static/HB0355.html" TargetMode="External"/><Relationship Id="rId20" Type="http://schemas.openxmlformats.org/officeDocument/2006/relationships/hyperlink" Target="https://le.utah.gov/~2024/bills/static/SB0027.html" TargetMode="External"/><Relationship Id="rId29" Type="http://schemas.openxmlformats.org/officeDocument/2006/relationships/hyperlink" Target="https://le.utah.gov/~2024/bills/static/SB0116.html" TargetMode="External"/><Relationship Id="rId1" Type="http://schemas.openxmlformats.org/officeDocument/2006/relationships/hyperlink" Target="https://le.utah.gov/~2024/bills/static/HB0014.html" TargetMode="External"/><Relationship Id="rId6" Type="http://schemas.openxmlformats.org/officeDocument/2006/relationships/hyperlink" Target="https://le.utah.gov/~2024/bills/static/HB0181.html" TargetMode="External"/><Relationship Id="rId11" Type="http://schemas.openxmlformats.org/officeDocument/2006/relationships/hyperlink" Target="https://le.utah.gov/~2024/bills/static/HB0306.html" TargetMode="External"/><Relationship Id="rId24" Type="http://schemas.openxmlformats.org/officeDocument/2006/relationships/hyperlink" Target="https://le.utah.gov/~2024/bills/static/SB0130.html" TargetMode="External"/><Relationship Id="rId5" Type="http://schemas.openxmlformats.org/officeDocument/2006/relationships/hyperlink" Target="https://le.utah.gov/~2024/bills/static/HB0141.html" TargetMode="External"/><Relationship Id="rId15" Type="http://schemas.openxmlformats.org/officeDocument/2006/relationships/hyperlink" Target="https://le.utah.gov/~2024/bills/static/HB0352.html" TargetMode="External"/><Relationship Id="rId23" Type="http://schemas.openxmlformats.org/officeDocument/2006/relationships/hyperlink" Target="https://le.utah.gov/~2024/bills/static/SB0061.html" TargetMode="External"/><Relationship Id="rId28" Type="http://schemas.openxmlformats.org/officeDocument/2006/relationships/hyperlink" Target="https://le.utah.gov/~2024/bills/static/HB0421.html" TargetMode="External"/><Relationship Id="rId10" Type="http://schemas.openxmlformats.org/officeDocument/2006/relationships/hyperlink" Target="https://le.utah.gov/~2024/bills/static/HB0299.html" TargetMode="External"/><Relationship Id="rId19" Type="http://schemas.openxmlformats.org/officeDocument/2006/relationships/hyperlink" Target="https://le.utah.gov/~2024/bills/static/SB0026.html" TargetMode="External"/><Relationship Id="rId31" Type="http://schemas.openxmlformats.org/officeDocument/2006/relationships/table" Target="../tables/table1.xml"/><Relationship Id="rId4" Type="http://schemas.openxmlformats.org/officeDocument/2006/relationships/hyperlink" Target="https://le.utah.gov/~2024/bills/static/HB0106.html" TargetMode="External"/><Relationship Id="rId9" Type="http://schemas.openxmlformats.org/officeDocument/2006/relationships/hyperlink" Target="https://le.utah.gov/~2024/bills/static/HB0298.html" TargetMode="External"/><Relationship Id="rId14" Type="http://schemas.openxmlformats.org/officeDocument/2006/relationships/hyperlink" Target="https://le.utah.gov/~2024/bills/static/HB0321.html" TargetMode="External"/><Relationship Id="rId22" Type="http://schemas.openxmlformats.org/officeDocument/2006/relationships/hyperlink" Target="https://le.utah.gov/~2024/bills/static/SB0060.html" TargetMode="External"/><Relationship Id="rId27" Type="http://schemas.openxmlformats.org/officeDocument/2006/relationships/hyperlink" Target="https://le.utah.gov/~2024/bills/static/HB0273.html"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A6030-D229-48D5-8E28-5A43B4DE68B4}">
  <dimension ref="A1:N31"/>
  <sheetViews>
    <sheetView tabSelected="1" workbookViewId="0">
      <pane ySplit="2" topLeftCell="A3" activePane="bottomLeft" state="frozen"/>
      <selection pane="bottomLeft" activeCell="I11" sqref="I11"/>
    </sheetView>
  </sheetViews>
  <sheetFormatPr defaultColWidth="27.85546875" defaultRowHeight="15"/>
  <cols>
    <col min="1" max="1" width="15.85546875" style="4" customWidth="1"/>
    <col min="2" max="2" width="54.140625" style="4" customWidth="1"/>
    <col min="3" max="3" width="35.42578125" style="3" customWidth="1"/>
    <col min="4" max="4" width="52.28515625" style="3" customWidth="1"/>
    <col min="5" max="5" width="29.42578125" style="3" customWidth="1"/>
    <col min="6" max="6" width="18.5703125" style="3" customWidth="1"/>
    <col min="7" max="7" width="13.85546875" style="3" customWidth="1"/>
    <col min="8" max="8" width="12.28515625" style="3" customWidth="1"/>
    <col min="9" max="9" width="9.7109375" style="2" customWidth="1"/>
    <col min="10" max="10" width="15.42578125" style="2" customWidth="1"/>
    <col min="11" max="12" width="14.28515625" style="2" customWidth="1"/>
    <col min="13" max="13" width="41.5703125" style="3" customWidth="1"/>
    <col min="14" max="14" width="42" style="4" customWidth="1"/>
    <col min="15" max="16384" width="27.85546875" style="4"/>
  </cols>
  <sheetData>
    <row r="1" spans="1:14" ht="75.599999999999994" customHeight="1">
      <c r="A1" s="13"/>
      <c r="B1" s="13"/>
      <c r="C1" s="14" t="s">
        <v>0</v>
      </c>
      <c r="D1" s="14"/>
      <c r="E1" s="1">
        <f ca="1">TODAY()</f>
        <v>45322</v>
      </c>
      <c r="F1" s="1"/>
      <c r="G1" s="1"/>
      <c r="H1" s="1"/>
    </row>
    <row r="2" spans="1:14" ht="45">
      <c r="A2" s="5" t="s">
        <v>1</v>
      </c>
      <c r="B2" s="6" t="s">
        <v>2</v>
      </c>
      <c r="C2" s="7" t="s">
        <v>3</v>
      </c>
      <c r="D2" s="7" t="s">
        <v>4</v>
      </c>
      <c r="E2" s="7" t="s">
        <v>5</v>
      </c>
      <c r="F2" s="7" t="s">
        <v>6</v>
      </c>
      <c r="G2" s="7" t="s">
        <v>7</v>
      </c>
      <c r="H2" s="7" t="s">
        <v>8</v>
      </c>
      <c r="I2" s="8" t="s">
        <v>9</v>
      </c>
      <c r="J2" s="8" t="s">
        <v>10</v>
      </c>
      <c r="K2" s="8" t="s">
        <v>11</v>
      </c>
      <c r="L2" s="8" t="s">
        <v>12</v>
      </c>
      <c r="M2" s="7" t="s">
        <v>13</v>
      </c>
      <c r="N2" s="6" t="s">
        <v>14</v>
      </c>
    </row>
    <row r="3" spans="1:14" ht="221.1" customHeight="1">
      <c r="A3" s="9" t="s">
        <v>15</v>
      </c>
      <c r="B3" s="4" t="str">
        <f>VLOOKUP(Table2[[#This Row],[Bill ID]], [1]!Bills[#Data], 2, FALSE)</f>
        <v>Homelessness Services Amendments</v>
      </c>
      <c r="C3" s="3" t="str">
        <f>VLOOKUP(Table2[[#This Row],[Bill ID]], [1]!Bills[#Data], 3, FALSE)</f>
        <v>This bill modifies provisions related to the provision of homeless services.</v>
      </c>
      <c r="D3" s="3" t="str">
        <f>VLOOKUP(Table2[[#This Row],[Bill ID]], [1]!Bills[#Data], 4, FALSE)</f>
        <v>This bill:
defines terms;
changes the membership of the Utah Homelessness Council;
changes the membership of the executive committee of the Utah Homelessness Council;
establishes additional data that the Office of Homeless Services shall report to the public and the Legislature;
requires the state and local homelessness councils to establish goals for making progress towards a functional zero level of homelessness;
modifies provisions related to the winter response plan for a county of the first or second class;
amends the requirements for determining when weather conditions pose a danger to individuals experiencing homelessness to warrant action by local governments and homeless providers (a code blue event);
changes the requirements and limitations in effect during a code blue event; and
makes technical and conforming changes.</v>
      </c>
      <c r="E3" s="3" t="str">
        <f>VLOOKUP(Table2[[#This Row],[Bill ID]], [1]!Bills[#Data], 7, FALSE)</f>
        <v>House/ received fiscal note from Fiscal Analyst</v>
      </c>
      <c r="F3" s="3" t="str">
        <f>VLOOKUP(Table2[[#This Row],[Bill ID]], [1]!Bills[#Data], 10, FALSE)</f>
        <v>Tyler Clancy</v>
      </c>
      <c r="G3" s="3" t="str">
        <f>VLOOKUP(Table2[[#This Row],[Bill ID]], [1]!Bills[#Data], 11, FALSE)</f>
        <v/>
      </c>
      <c r="H3" s="3" t="str">
        <f>IF(VLOOKUP(Table2[[#This Row],[Bill ID]], [1]!Bills[#Data], 14, FALSE)=0, "", VLOOKUP(Table2[[#This Row],[Bill ID]], [1]!Bills[#Data], 14, FALSE))</f>
        <v/>
      </c>
      <c r="I3" s="2">
        <v>10</v>
      </c>
      <c r="J3" s="2" t="str">
        <f>VLOOKUP(Table2[[#This Row],[Bill ID]], [1]!Bills[#Data], 8, FALSE)</f>
        <v/>
      </c>
      <c r="K3" s="2" t="str">
        <f>VLOOKUP(Table2[[#This Row],[Bill ID]], [1]!Bills[#Data], 9, FALSE)</f>
        <v>ULCT</v>
      </c>
      <c r="L3" s="2" t="str">
        <f>VLOOKUP(Table2[[#This Row],[Bill ID]], [1]!Bills[#Data], 6, FALSE)</f>
        <v>HO; CB; DT; ES</v>
      </c>
      <c r="M3" s="3" t="str">
        <f>IF(VLOOKUP(Table2[[#This Row],[Bill ID]], [1]!Bills[#Data], 15, FALSE)=0, "", VLOOKUP(Table2[[#This Row],[Bill ID]], [1]!Bills[#Data], 15, FALSE))</f>
        <v>This bill does four main things: (1) changes the leadership of the Utah Homelessness Council to favor County- over City-level leadership, (2) introduces reporting and goal-setting requirements for OHS aimed at achieving a “functional zero” level of homelessness, and (3) changes the code blue procedures to allow for more local autonomy/oversight of the process. Additionally, the bill expands the definition of “service provider” to include correctional facilities and the Administrative Office of the Courts and requires client-level data to be shared among all service providers in the state.</v>
      </c>
      <c r="N3" s="3" t="s">
        <v>16</v>
      </c>
    </row>
    <row r="4" spans="1:14" ht="146.44999999999999" customHeight="1">
      <c r="A4" s="9" t="s">
        <v>17</v>
      </c>
      <c r="B4" s="3" t="str">
        <f>VLOOKUP(Table2[[#This Row],[Bill ID]], [1]!Bills[#Data], 2, FALSE)</f>
        <v>Sex-based Designations for Privacy, Anti-bullying, and Women's Opportunities</v>
      </c>
      <c r="C4" s="3" t="str">
        <f>VLOOKUP(Table2[[#This Row],[Bill ID]], [1]!Bills[#Data], 3, FALSE)</f>
        <v>This bill establishes a standard regarding distinctions on the basis of sex and applies the standard in certain facilities and opportunities where designations on the basis of sex address individual privacy, bullying, and women's opportunities.</v>
      </c>
      <c r="D4" s="3" t="str">
        <f>VLOOKUP(Table2[[#This Row],[Bill ID]], [1]!Bills[#Data], 4, FALSE)</f>
        <v>This bill:
defines terms;
defines certain terms for the entire Utah Code;
establishes a legal standard for distinctions on the basis of sex in certain publicly owned or controlled circumstances;
establishes acceptable and prohibited distinctions on the basis of sex;
enacts provisions regarding sex-designated restroom, shower, or locker room facilities that students use within the public education system;
requires local education agencies to establish a privacy plan with parents and students in certain cases to address gender identity and fear of bullying;
enacts provisions regarding sex-designated shower or locker room facilities where the general public has an expectation of privacy;
establishes components of the crimes of voyeurism and criminal trespass for certain actions within a covered sex-designated shower or locker room;
requires government entities to:
      • report allegations of certain criminal offenses to law enforcement;
      • adopt a privacy compliance plan;
      • provide a single-occupant facility in new construction; and
      • consider the feasibility of certain retrofit or remodel projects;
provides indemnification for government entities for certain claims;
requires the state auditor to investigate government entity compliance with certain requirements;
requires the attorney general to impose fines on political subdivisions that fail to cure noncompliance that the state auditor identifies;
amends certain crimes to establish a reasonable expectation of privacy in public restrooms, including enhanced penalties for:
      • committing multiple offenses concurrently within a public restroom, shower, or locker room; and
      • committing certain offenses within a public restroom, shower, or locker room that is designated for the opposite sex;
enacts a criminal offense for loitering in a restroom, shower, or locker room where the general public has an expectation of privacy;
establishes elements of the crime of emergency reporting abuse for making repeated false reports alleging a violation of a sex-designation in a publicly owned or controlled shower or locker room facility where the general public has an expectation of privacy; and
makes technical and conforming changes.</v>
      </c>
      <c r="E4" s="3" t="str">
        <f>VLOOKUP(Table2[[#This Row],[Bill ID]], [1]!Bills[#Data], 7, FALSE)</f>
        <v>House/ enrolled bill to Printing</v>
      </c>
      <c r="F4" s="3" t="str">
        <f>VLOOKUP(Table2[[#This Row],[Bill ID]], [1]!Bills[#Data], 10, FALSE)</f>
        <v>Kera Birkeland</v>
      </c>
      <c r="G4" s="3" t="str">
        <f>VLOOKUP(Table2[[#This Row],[Bill ID]], [1]!Bills[#Data], 11, FALSE)</f>
        <v>Daniel McCay</v>
      </c>
      <c r="H4" s="3" t="str">
        <f>IF(VLOOKUP(Table2[[#This Row],[Bill ID]], [1]!Bills[#Data], 14, FALSE)=0, "", VLOOKUP(Table2[[#This Row],[Bill ID]], [1]!Bills[#Data], 14, FALSE))</f>
        <v/>
      </c>
      <c r="I4" s="2">
        <v>9</v>
      </c>
      <c r="J4" s="2" t="str">
        <f>VLOOKUP(Table2[[#This Row],[Bill ID]], [1]!Bills[#Data], 8, FALSE)</f>
        <v/>
      </c>
      <c r="K4" s="2" t="str">
        <f>VLOOKUP(Table2[[#This Row],[Bill ID]], [1]!Bills[#Data], 9, FALSE)</f>
        <v/>
      </c>
      <c r="L4" s="2" t="str">
        <f>VLOOKUP(Table2[[#This Row],[Bill ID]], [1]!Bills[#Data], 6, FALSE)</f>
        <v>CJ; NO; GS; SA</v>
      </c>
      <c r="M4" s="3" t="str">
        <f>IF(VLOOKUP(Table2[[#This Row],[Bill ID]], [1]!Bills[#Data], 15, FALSE)=0, "", VLOOKUP(Table2[[#This Row],[Bill ID]], [1]!Bills[#Data], 15, FALSE))</f>
        <v>Concerns over whether this bill would prevent municipalities and service providers from receiving federal funding. Additional concerns over whether transgender individual would be able to safely and legally access certain services (e.g. domestic violence shelters)</v>
      </c>
      <c r="N4" s="3"/>
    </row>
    <row r="5" spans="1:14" ht="409.5">
      <c r="A5" s="9" t="s">
        <v>18</v>
      </c>
      <c r="B5" s="4" t="str">
        <f>VLOOKUP(Table2[[#This Row],[Bill ID]], [1]!Bills[#Data], 2, FALSE)</f>
        <v>Homelessness Amendments</v>
      </c>
      <c r="C5" s="3" t="str">
        <f>VLOOKUP(Table2[[#This Row],[Bill ID]], [1]!Bills[#Data], 3, FALSE)</f>
        <v>This bill modifies provisions related to the oversight and provision of services for individuals experiencing homelessness.</v>
      </c>
      <c r="D5" s="3" t="str">
        <f>VLOOKUP(Table2[[#This Row],[Bill ID]], [1]!Bills[#Data], 4, FALSE)</f>
        <v xml:space="preserve">This bill:
clarifies the Utah Homelessness Council (council) executive committee's duty to serve in an advisory capacity for the council;
requires the council to make rules establishing standards for the prioritization of beds located in homeless shelters;
prohibits the awarding of state funds to homeless shelters that fail to comply with the prioritization standards established by the council;
allows a homeless shelter that provides any amount of matching funds to receive grants for ongoing operations from the council;
requires the council to consider the amount of matching grants provided by homeless shelters in awarding grants for ongoing operations;
allows the Office of Homeless Services to use uncommitted Homeless Shelter Cities Mitigation Restricted Account (account) funds for disbursement in the following year;
prohibits municipalities from receiving account funds unless a municipality enforces an ordinance prohibiting panhandling;
increases the temperature for which a code blue alert takes effect;
authorizes municipalities to implement emergency measures to assist individuals experiencing homelessness during dangerous weather conditions;
clarifies the amount of the reduction to the annual local contribution required by certain local governments based on the availability of homeless shelter beds; and
makes technical and conforming changes.  </v>
      </c>
      <c r="E5" s="3" t="str">
        <f>VLOOKUP(Table2[[#This Row],[Bill ID]], [1]!Bills[#Data], 7, FALSE)</f>
        <v>House/ received bill from Legislative Research</v>
      </c>
      <c r="F5" s="3" t="str">
        <f>VLOOKUP(Table2[[#This Row],[Bill ID]], [1]!Bills[#Data], 10, FALSE)</f>
        <v>Steve Eliason</v>
      </c>
      <c r="G5" s="3" t="str">
        <f>VLOOKUP(Table2[[#This Row],[Bill ID]], [1]!Bills[#Data], 11, FALSE)</f>
        <v/>
      </c>
      <c r="H5" s="3" t="str">
        <f>IF(VLOOKUP(Table2[[#This Row],[Bill ID]], [1]!Bills[#Data], 14, FALSE)=0, "", VLOOKUP(Table2[[#This Row],[Bill ID]], [1]!Bills[#Data], 14, FALSE))</f>
        <v/>
      </c>
      <c r="I5" s="2">
        <v>9</v>
      </c>
      <c r="J5" s="2" t="str">
        <f>VLOOKUP(Table2[[#This Row],[Bill ID]], [1]!Bills[#Data], 8, FALSE)</f>
        <v/>
      </c>
      <c r="K5" s="2" t="str">
        <f>VLOOKUP(Table2[[#This Row],[Bill ID]], [1]!Bills[#Data], 9, FALSE)</f>
        <v/>
      </c>
      <c r="L5" s="2" t="str">
        <f>VLOOKUP(Table2[[#This Row],[Bill ID]], [1]!Bills[#Data], 6, FALSE)</f>
        <v>HO; CB; ES</v>
      </c>
      <c r="M5" s="3" t="str">
        <f>IF(VLOOKUP(Table2[[#This Row],[Bill ID]], [1]!Bills[#Data], 15, FALSE)=0, "", VLOOKUP(Table2[[#This Row],[Bill ID]], [1]!Bills[#Data], 15, FALSE))</f>
        <v/>
      </c>
    </row>
    <row r="6" spans="1:14" ht="409.5">
      <c r="A6" s="9" t="s">
        <v>19</v>
      </c>
      <c r="B6" s="4" t="str">
        <f>VLOOKUP(Table2[[#This Row],[Bill ID]], [1]!Bills[#Data], 2, FALSE)</f>
        <v>Behavioral Health Licensing Amendments</v>
      </c>
      <c r="C6" s="3" t="str">
        <f>VLOOKUP(Table2[[#This Row],[Bill ID]], [1]!Bills[#Data], 3, FALSE)</f>
        <v>This bill amends behavioral health licensing provisions.</v>
      </c>
      <c r="D6" s="3" t="str">
        <f>VLOOKUP(Table2[[#This Row],[Bill ID]], [1]!Bills[#Data], 4, FALSE)</f>
        <v>This bill:
requires the division to consider interstate portability and make recommendations regarding Utah's membership in any interstate licensing compacts;
expands the types of licensees who may participate in the Utah Professionals Health Program;
establishes that mental health disorders and substance use disorders qualify an individual licensee for the Utah Professionals Health Program's alternative path to public disciplinary action;
creates the Behavioral Health Board, a multi-professional board to replace certain individual license boards;
establishes who may supervise an applicant for licensure's supervised clinical hours;
expands the number of applicants for licensure a supervising licensee may supervise;
reduces the number of clinical hours an applicant for licensure must complete to obtain certain licensures;
increases the number of supervised clinical hours an applicant for licensure must complete to obtain certain licensures;
creates an alternative pathway to certain licensures through increased direct contact client hours and supervised clinical hours, in lieu of examination requirements;
creates the licenses of master addiction counselor and associate master addiction counselor; and
makes technical corrections.</v>
      </c>
      <c r="E6" s="3" t="str">
        <f>VLOOKUP(Table2[[#This Row],[Bill ID]], [1]!Bills[#Data], 7, FALSE)</f>
        <v>Senate/ to standing committee</v>
      </c>
      <c r="F6" s="3" t="str">
        <f>VLOOKUP(Table2[[#This Row],[Bill ID]], [1]!Bills[#Data], 10, FALSE)</f>
        <v>Curtis S. Bramble</v>
      </c>
      <c r="G6" s="3" t="str">
        <f>VLOOKUP(Table2[[#This Row],[Bill ID]], [1]!Bills[#Data], 11, FALSE)</f>
        <v>A. Cory Maloy</v>
      </c>
      <c r="H6" s="3" t="str">
        <f>IF(VLOOKUP(Table2[[#This Row],[Bill ID]], [1]!Bills[#Data], 14, FALSE)=0, "", VLOOKUP(Table2[[#This Row],[Bill ID]], [1]!Bills[#Data], 14, FALSE))</f>
        <v/>
      </c>
      <c r="I6" s="2">
        <v>8</v>
      </c>
      <c r="J6" s="2" t="str">
        <f>VLOOKUP(Table2[[#This Row],[Bill ID]], [1]!Bills[#Data], 8, FALSE)</f>
        <v>USAAV; CCJJ</v>
      </c>
      <c r="K6" s="2" t="str">
        <f>VLOOKUP(Table2[[#This Row],[Bill ID]], [1]!Bills[#Data], 9, FALSE)</f>
        <v/>
      </c>
      <c r="L6" s="2" t="str">
        <f>VLOOKUP(Table2[[#This Row],[Bill ID]], [1]!Bills[#Data], 6, FALSE)</f>
        <v>CJ; HO; BH</v>
      </c>
      <c r="M6" s="3" t="str">
        <f>IF(VLOOKUP(Table2[[#This Row],[Bill ID]], [1]!Bills[#Data], 15, FALSE)=0, "", VLOOKUP(Table2[[#This Row],[Bill ID]], [1]!Bills[#Data], 15, FALSE))</f>
        <v/>
      </c>
    </row>
    <row r="7" spans="1:14" ht="216.95" customHeight="1">
      <c r="A7" s="9" t="s">
        <v>20</v>
      </c>
      <c r="B7" s="4" t="str">
        <f>VLOOKUP(Table2[[#This Row],[Bill ID]], [1]!Bills[#Data], 2, FALSE)</f>
        <v>Behavioral Health System Amendments</v>
      </c>
      <c r="C7" s="3" t="str">
        <f>VLOOKUP(Table2[[#This Row],[Bill ID]], [1]!Bills[#Data], 3, FALSE)</f>
        <v>This bill creates the Utah Behavioral Health Commission.</v>
      </c>
      <c r="D7" s="3" t="str">
        <f>VLOOKUP(Table2[[#This Row],[Bill ID]], [1]!Bills[#Data], 4, FALSE)</f>
        <v>This bill:
creates the Utah Behavioral Health Commission (commission) within the Department of Health and Human Services;
describes the commission's purpose and duties;
creates certain subcommittees under the commission, including moving certain existing behavioral health entities under the direction of the commission;
creates the Legislative Policy Committee under the direction of the commission, and describes that committee's duties;
provides a sunset date for the commission;
amends the sunset date for the Education and Mental Health Coordinating Committee; and
makes technical and conforming changes.</v>
      </c>
      <c r="E7" s="3" t="str">
        <f>VLOOKUP(Table2[[#This Row],[Bill ID]], [1]!Bills[#Data], 7, FALSE)</f>
        <v>Senate/ to standing committee</v>
      </c>
      <c r="F7" s="3" t="str">
        <f>VLOOKUP(Table2[[#This Row],[Bill ID]], [1]!Bills[#Data], 10, FALSE)</f>
        <v>Evan J. Vickers</v>
      </c>
      <c r="G7" s="3" t="str">
        <f>VLOOKUP(Table2[[#This Row],[Bill ID]], [1]!Bills[#Data], 11, FALSE)</f>
        <v>Steve Eliason</v>
      </c>
      <c r="H7" s="3" t="str">
        <f>IF(VLOOKUP(Table2[[#This Row],[Bill ID]], [1]!Bills[#Data], 14, FALSE)=0, "", VLOOKUP(Table2[[#This Row],[Bill ID]], [1]!Bills[#Data], 14, FALSE))</f>
        <v/>
      </c>
      <c r="I7" s="2">
        <v>8</v>
      </c>
      <c r="J7" s="2" t="str">
        <f>VLOOKUP(Table2[[#This Row],[Bill ID]], [1]!Bills[#Data], 8, FALSE)</f>
        <v>USAAV; CCJJ; VIC</v>
      </c>
      <c r="K7" s="2" t="str">
        <f>VLOOKUP(Table2[[#This Row],[Bill ID]], [1]!Bills[#Data], 9, FALSE)</f>
        <v/>
      </c>
      <c r="L7" s="2" t="str">
        <f>VLOOKUP(Table2[[#This Row],[Bill ID]], [1]!Bills[#Data], 6, FALSE)</f>
        <v>CJ; HO; SS; BH</v>
      </c>
      <c r="M7" s="3" t="str">
        <f>IF(VLOOKUP(Table2[[#This Row],[Bill ID]], [1]!Bills[#Data], 15, FALSE)=0, "", VLOOKUP(Table2[[#This Row],[Bill ID]], [1]!Bills[#Data], 15, FALSE))</f>
        <v>Sunset date concern: 
2154          (39) Title 26B, Chapter 5, Part 7, Utah Behavioral Health Commission, is repealed July
2155     1, 2029.</v>
      </c>
    </row>
    <row r="8" spans="1:14" ht="372.6" customHeight="1">
      <c r="A8" s="9" t="s">
        <v>21</v>
      </c>
      <c r="B8" s="4" t="str">
        <f>VLOOKUP(Table2[[#This Row],[Bill ID]], [1]!Bills[#Data], 2, FALSE)</f>
        <v>Olene Walker Housing Loan Fund Amendments</v>
      </c>
      <c r="C8" s="3" t="str">
        <f>VLOOKUP(Table2[[#This Row],[Bill ID]], [1]!Bills[#Data], 3, FALSE)</f>
        <v>This bill modifies provisions related to the Olene Walker Housing Loan Fund within the Department of Workforce Services.</v>
      </c>
      <c r="D8" s="3" t="str">
        <f>VLOOKUP(Table2[[#This Row],[Bill ID]], [1]!Bills[#Data], 4, FALSE)</f>
        <v>This bill:
requires the Division of Finance to annually transfer a certain amount of state liquor sale revenues from the Liquor Control Fund to the Olene Walker Housing Loan Fund; and
makes technical changes.</v>
      </c>
      <c r="E8" s="3" t="str">
        <f>VLOOKUP(Table2[[#This Row],[Bill ID]], [1]!Bills[#Data], 7, FALSE)</f>
        <v>House/ 1st reading (Introduced)</v>
      </c>
      <c r="F8" s="3" t="str">
        <f>VLOOKUP(Table2[[#This Row],[Bill ID]], [1]!Bills[#Data], 10, FALSE)</f>
        <v>Carol Spackman Moss</v>
      </c>
      <c r="G8" s="3" t="str">
        <f>VLOOKUP(Table2[[#This Row],[Bill ID]], [1]!Bills[#Data], 11, FALSE)</f>
        <v/>
      </c>
      <c r="H8" s="3" t="str">
        <f>IF(VLOOKUP(Table2[[#This Row],[Bill ID]], [1]!Bills[#Data], 14, FALSE)=0, "", VLOOKUP(Table2[[#This Row],[Bill ID]], [1]!Bills[#Data], 14, FALSE))</f>
        <v/>
      </c>
      <c r="I8" s="2">
        <v>7</v>
      </c>
      <c r="J8" s="2" t="str">
        <f>VLOOKUP(Table2[[#This Row],[Bill ID]], [1]!Bills[#Data], 8, FALSE)</f>
        <v>ULCT</v>
      </c>
      <c r="K8" s="2" t="str">
        <f>VLOOKUP(Table2[[#This Row],[Bill ID]], [1]!Bills[#Data], 9, FALSE)</f>
        <v/>
      </c>
      <c r="L8" s="2" t="str">
        <f>VLOOKUP(Table2[[#This Row],[Bill ID]], [1]!Bills[#Data], 6, FALSE)</f>
        <v>HO; AH</v>
      </c>
      <c r="M8" s="3" t="str">
        <f>IF(VLOOKUP(Table2[[#This Row],[Bill ID]], [1]!Bills[#Data], 15, FALSE)=0, "", VLOOKUP(Table2[[#This Row],[Bill ID]], [1]!Bills[#Data], 15, FALSE))</f>
        <v/>
      </c>
    </row>
    <row r="9" spans="1:14" ht="60">
      <c r="A9" s="9" t="s">
        <v>22</v>
      </c>
      <c r="B9" s="4" t="str">
        <f>VLOOKUP(Table2[[#This Row],[Bill ID]], [1]!Bills[#Data], 2, FALSE)</f>
        <v>Eviction Records Amendments</v>
      </c>
      <c r="C9" s="3" t="str">
        <f>VLOOKUP(Table2[[#This Row],[Bill ID]], [1]!Bills[#Data], 3, FALSE)</f>
        <v>This bill modifies provisions related to the expungement of evictions.</v>
      </c>
      <c r="D9" s="3" t="str">
        <f>VLOOKUP(Table2[[#This Row],[Bill ID]], [1]!Bills[#Data], 4, FALSE)</f>
        <v>This bill:
modifies the time period required before an automatic expungement of an eviction takes place; and
corrects structural issues in the section.</v>
      </c>
      <c r="E9" s="3" t="str">
        <f>VLOOKUP(Table2[[#This Row],[Bill ID]], [1]!Bills[#Data], 7, FALSE)</f>
        <v>House/ received fiscal note from Fiscal Analyst</v>
      </c>
      <c r="F9" s="3" t="str">
        <f>VLOOKUP(Table2[[#This Row],[Bill ID]], [1]!Bills[#Data], 10, FALSE)</f>
        <v>Marsha Judkins</v>
      </c>
      <c r="G9" s="3" t="str">
        <f>VLOOKUP(Table2[[#This Row],[Bill ID]], [1]!Bills[#Data], 11, FALSE)</f>
        <v>Todd D. Weiler</v>
      </c>
      <c r="H9" s="3" t="str">
        <f>IF(VLOOKUP(Table2[[#This Row],[Bill ID]], [1]!Bills[#Data], 14, FALSE)=0, "", VLOOKUP(Table2[[#This Row],[Bill ID]], [1]!Bills[#Data], 14, FALSE))</f>
        <v/>
      </c>
      <c r="I9" s="2">
        <v>7</v>
      </c>
      <c r="J9" s="2" t="str">
        <f>VLOOKUP(Table2[[#This Row],[Bill ID]], [1]!Bills[#Data], 8, FALSE)</f>
        <v/>
      </c>
      <c r="K9" s="2" t="str">
        <f>VLOOKUP(Table2[[#This Row],[Bill ID]], [1]!Bills[#Data], 9, FALSE)</f>
        <v/>
      </c>
      <c r="L9" s="2" t="str">
        <f>VLOOKUP(Table2[[#This Row],[Bill ID]], [1]!Bills[#Data], 6, FALSE)</f>
        <v>CJ; HO; EX; EV</v>
      </c>
      <c r="M9" s="3" t="str">
        <f>IF(VLOOKUP(Table2[[#This Row],[Bill ID]], [1]!Bills[#Data], 15, FALSE)=0, "", VLOOKUP(Table2[[#This Row],[Bill ID]], [1]!Bills[#Data], 15, FALSE))</f>
        <v/>
      </c>
    </row>
    <row r="10" spans="1:14" ht="409.5">
      <c r="A10" s="9" t="s">
        <v>23</v>
      </c>
      <c r="B10" s="4" t="str">
        <f>VLOOKUP(Table2[[#This Row],[Bill ID]], [1]!Bills[#Data], 2, FALSE)</f>
        <v>Drug Paraphernalia Amendments</v>
      </c>
      <c r="C10" s="3" t="str">
        <f>VLOOKUP(Table2[[#This Row],[Bill ID]], [1]!Bills[#Data], 3, FALSE)</f>
        <v>This bill concerns possession of certain types of drug paraphernalia.</v>
      </c>
      <c r="D10" s="3" t="str">
        <f>VLOOKUP(Table2[[#This Row],[Bill ID]], [1]!Bills[#Data], 4, FALSE)</f>
        <v>This bill:
creates an affirmative defense to a charge of possession of certain types of drug paraphernalia under specified conditions; and
makes technical and conforming changes.</v>
      </c>
      <c r="E10" s="3" t="str">
        <f>VLOOKUP(Table2[[#This Row],[Bill ID]], [1]!Bills[#Data], 7, FALSE)</f>
        <v>Senate/ to House</v>
      </c>
      <c r="F10" s="3" t="str">
        <f>VLOOKUP(Table2[[#This Row],[Bill ID]], [1]!Bills[#Data], 10, FALSE)</f>
        <v>Jen Plumb</v>
      </c>
      <c r="G10" s="3" t="str">
        <f>VLOOKUP(Table2[[#This Row],[Bill ID]], [1]!Bills[#Data], 11, FALSE)</f>
        <v/>
      </c>
      <c r="H10" s="3" t="str">
        <f>IF(VLOOKUP(Table2[[#This Row],[Bill ID]], [1]!Bills[#Data], 14, FALSE)=0, "", VLOOKUP(Table2[[#This Row],[Bill ID]], [1]!Bills[#Data], 14, FALSE))</f>
        <v/>
      </c>
      <c r="I10" s="2">
        <v>7</v>
      </c>
      <c r="J10" s="2" t="str">
        <f>VLOOKUP(Table2[[#This Row],[Bill ID]], [1]!Bills[#Data], 8, FALSE)</f>
        <v>USAAV; CCJJ</v>
      </c>
      <c r="K10" s="2" t="str">
        <f>VLOOKUP(Table2[[#This Row],[Bill ID]], [1]!Bills[#Data], 9, FALSE)</f>
        <v/>
      </c>
      <c r="L10" s="2">
        <f>VLOOKUP(Table2[[#This Row],[Bill ID]], [1]!Bills[#Data], 6, FALSE)</f>
        <v>0</v>
      </c>
      <c r="M10" s="3" t="str">
        <f>IF(VLOOKUP(Table2[[#This Row],[Bill ID]], [1]!Bills[#Data], 15, FALSE)=0, "", VLOOKUP(Table2[[#This Row],[Bill ID]], [1]!Bills[#Data], 15, FALSE))</f>
        <v>This would allow for current needle exchange programs to operate with less legal risk for clients. Harm-reduction measure.</v>
      </c>
    </row>
    <row r="11" spans="1:14" ht="75">
      <c r="A11" s="9" t="s">
        <v>24</v>
      </c>
      <c r="B11" s="4" t="str">
        <f>VLOOKUP(Table2[[#This Row],[Bill ID]], [1]!Bills[#Data], 2, FALSE)</f>
        <v>Firearm Modifications</v>
      </c>
      <c r="C11" s="3" t="str">
        <f>VLOOKUP(Table2[[#This Row],[Bill ID]], [1]!Bills[#Data], 3, FALSE)</f>
        <v>This bill addresses the punishment for individuals who use or possess a firearm while distributing illegal drugs.</v>
      </c>
      <c r="D11" s="3" t="str">
        <f>VLOOKUP(Table2[[#This Row],[Bill ID]], [1]!Bills[#Data], 4, FALSE)</f>
        <v>This bill:
requires a court to sentence individuals who use or possess a firearm while distributing drugs to an indeterminate prison term; and
makes technical and conforming changes.</v>
      </c>
      <c r="E11" s="3" t="str">
        <f>VLOOKUP(Table2[[#This Row],[Bill ID]], [1]!Bills[#Data], 7, FALSE)</f>
        <v>Senate/ to standing committee</v>
      </c>
      <c r="F11" s="3" t="str">
        <f>VLOOKUP(Table2[[#This Row],[Bill ID]], [1]!Bills[#Data], 10, FALSE)</f>
        <v>Andrew Stoddard</v>
      </c>
      <c r="G11" s="3" t="str">
        <f>VLOOKUP(Table2[[#This Row],[Bill ID]], [1]!Bills[#Data], 11, FALSE)</f>
        <v>Keith Grover</v>
      </c>
      <c r="H11" s="3" t="str">
        <f>IF(VLOOKUP(Table2[[#This Row],[Bill ID]], [1]!Bills[#Data], 14, FALSE)=0, "", VLOOKUP(Table2[[#This Row],[Bill ID]], [1]!Bills[#Data], 14, FALSE))</f>
        <v/>
      </c>
      <c r="I11" s="2">
        <v>7</v>
      </c>
      <c r="J11" s="2" t="str">
        <f>VLOOKUP(Table2[[#This Row],[Bill ID]], [1]!Bills[#Data], 8, FALSE)</f>
        <v>USC; VIC; LELC</v>
      </c>
      <c r="K11" s="2" t="str">
        <f>VLOOKUP(Table2[[#This Row],[Bill ID]], [1]!Bills[#Data], 9, FALSE)</f>
        <v/>
      </c>
      <c r="L11" s="2" t="str">
        <f>VLOOKUP(Table2[[#This Row],[Bill ID]], [1]!Bills[#Data], 6, FALSE)</f>
        <v>CJ; ST; MO; FS; DC; DX</v>
      </c>
      <c r="M11" s="3" t="str">
        <f>IF(VLOOKUP(Table2[[#This Row],[Bill ID]], [1]!Bills[#Data], 15, FALSE)=0, "", VLOOKUP(Table2[[#This Row],[Bill ID]], [1]!Bills[#Data], 15, FALSE))</f>
        <v/>
      </c>
    </row>
    <row r="12" spans="1:14" ht="75">
      <c r="A12" s="9" t="s">
        <v>25</v>
      </c>
      <c r="B12" s="10" t="str">
        <f>VLOOKUP(Table2[[#This Row],[Bill ID]], [1]!Bills[#Data], 2, FALSE)</f>
        <v>Eviction Notice Requirements Amendments</v>
      </c>
      <c r="C12" s="11" t="str">
        <f>VLOOKUP(Table2[[#This Row],[Bill ID]], [1]!Bills[#Data], 3, FALSE)</f>
        <v xml:space="preserve">This bill addresses the handling of companion animals impacted by eviction. </v>
      </c>
      <c r="D12" s="11" t="str">
        <f>VLOOKUP(Table2[[#This Row],[Bill ID]], [1]!Bills[#Data], 4, FALSE)</f>
        <v>This bill:
defines terms;
imposes requirements in relation to a companion animal on the premises when enforcing an order of restitution;
places a cap on fees charged for keeping a companion animal taken from the premises when enforcing an order of restitution; and
makes technical changes.</v>
      </c>
      <c r="E12" s="11" t="str">
        <f>VLOOKUP(Table2[[#This Row],[Bill ID]], [1]!Bills[#Data], 7, FALSE)</f>
        <v>Senate/ received fiscal note from Fiscal Analyst</v>
      </c>
      <c r="F12" s="11" t="str">
        <f>VLOOKUP(Table2[[#This Row],[Bill ID]], [1]!Bills[#Data], 10, FALSE)</f>
        <v>Jen Plumb</v>
      </c>
      <c r="G12" s="11" t="str">
        <f>VLOOKUP(Table2[[#This Row],[Bill ID]], [1]!Bills[#Data], 11, FALSE)</f>
        <v/>
      </c>
      <c r="H12" s="11" t="str">
        <f>IF(VLOOKUP(Table2[[#This Row],[Bill ID]], [1]!Bills[#Data], 14, FALSE)=0, "", VLOOKUP(Table2[[#This Row],[Bill ID]], [1]!Bills[#Data], 14, FALSE))</f>
        <v/>
      </c>
      <c r="I12" s="12">
        <v>7</v>
      </c>
      <c r="J12" s="12" t="str">
        <f>VLOOKUP(Table2[[#This Row],[Bill ID]], [1]!Bills[#Data], 8, FALSE)</f>
        <v/>
      </c>
      <c r="K12" s="12" t="str">
        <f>VLOOKUP(Table2[[#This Row],[Bill ID]], [1]!Bills[#Data], 9, FALSE)</f>
        <v/>
      </c>
      <c r="L12" s="12" t="str">
        <f>VLOOKUP(Table2[[#This Row],[Bill ID]], [1]!Bills[#Data], 6, FALSE)</f>
        <v>HO; EV</v>
      </c>
      <c r="M12" s="11" t="str">
        <f>IF(VLOOKUP(Table2[[#This Row],[Bill ID]], [1]!Bills[#Data], 15, FALSE)=0, "", VLOOKUP(Table2[[#This Row],[Bill ID]], [1]!Bills[#Data], 15, FALSE))</f>
        <v/>
      </c>
    </row>
    <row r="13" spans="1:14" ht="60">
      <c r="A13" s="9" t="s">
        <v>26</v>
      </c>
      <c r="B13" s="4" t="str">
        <f>VLOOKUP(Table2[[#This Row],[Bill ID]], [1]!Bills[#Data], 2, FALSE)</f>
        <v>Court-ordered Treatment Modifications</v>
      </c>
      <c r="C13" s="3" t="str">
        <f>VLOOKUP(Table2[[#This Row],[Bill ID]], [1]!Bills[#Data], 3, FALSE)</f>
        <v>This bill addresses court-ordered treatment.</v>
      </c>
      <c r="D13" s="3" t="str">
        <f>VLOOKUP(Table2[[#This Row],[Bill ID]], [1]!Bills[#Data], 4, FALSE)</f>
        <v>This bill:
requires the Division of Facilities Construction and Management (DFCM) to sell the current Utah State Hospital property in Provo;
requires the Division of Integrated Healthcare to develop and implement a dispersed model for the Utah State Hospital, comprising multiple facilities throughout the state;
requires DFCM to use the proceeds of the sale of the current Utah State Hospital property to develop and implement facilities for use as Utah State Hospital facilities;
allows DFCM, after selling the current Utah State Hospital property, to lease that property for a limited time for use by the Division of Integrated Healthcare while new facilities are developed;
creates an expendable special revenue fund to be used for mental health resources, and provides that the fund will be funded by tax revenue on the current Utah State Hospital property after DFCM sells the property;
requires the Office of Substance Use and Mental Health (office) to conduct a study on the delivery and accessibility of mental health treatment and supports in the state, including for individuals who are civilly committed;
requires the office to present a report on the results of the study to the Health and Human Services Interim Committee by December 31, 2025;
requires a local mental health authority to notify a peace officer or mental health officer when certain individuals are released from temporary involuntary commitment;
amends the amount of time an individual may be held under a temporary commitment;
amends the criteria under which a court shall order the involuntary commitment of an individual with a mental illness;
amends the criteria and procedure for court-ordered assisted outpatient treatment;
amends the criteria under which a court may order the involuntary commitment of an individual with an intellectual disability;
describes information that must be provided to an individual when the individual is discharged from involuntary commitment; and
makes technical and conforming changes.</v>
      </c>
      <c r="E13" s="3" t="str">
        <f>VLOOKUP(Table2[[#This Row],[Bill ID]], [1]!Bills[#Data], 7, FALSE)</f>
        <v>LFA/ fiscal note sent to sponsor</v>
      </c>
      <c r="F13" s="3" t="str">
        <f>VLOOKUP(Table2[[#This Row],[Bill ID]], [1]!Bills[#Data], 10, FALSE)</f>
        <v>Tyler Clancy</v>
      </c>
      <c r="G13" s="3" t="str">
        <f>VLOOKUP(Table2[[#This Row],[Bill ID]], [1]!Bills[#Data], 11, FALSE)</f>
        <v/>
      </c>
      <c r="H13" s="3" t="str">
        <f>IF(VLOOKUP(Table2[[#This Row],[Bill ID]], [1]!Bills[#Data], 14, FALSE)=0, "", VLOOKUP(Table2[[#This Row],[Bill ID]], [1]!Bills[#Data], 14, FALSE))</f>
        <v/>
      </c>
      <c r="I13" s="2">
        <v>6</v>
      </c>
      <c r="J13" s="2" t="str">
        <f>VLOOKUP(Table2[[#This Row],[Bill ID]], [1]!Bills[#Data], 8, FALSE)</f>
        <v/>
      </c>
      <c r="K13" s="2" t="str">
        <f>VLOOKUP(Table2[[#This Row],[Bill ID]], [1]!Bills[#Data], 9, FALSE)</f>
        <v/>
      </c>
      <c r="L13" s="2" t="str">
        <f>VLOOKUP(Table2[[#This Row],[Bill ID]], [1]!Bills[#Data], 6, FALSE)</f>
        <v>HO; CJ; BH</v>
      </c>
      <c r="M13" s="3" t="str">
        <f>IF(VLOOKUP(Table2[[#This Row],[Bill ID]], [1]!Bills[#Data], 15, FALSE)=0, "", VLOOKUP(Table2[[#This Row],[Bill ID]], [1]!Bills[#Data], 15, FALSE))</f>
        <v>Breaks up the Utah State Hospital with the other facilties placed throughout the state. The USP are able to rent the space until 2029. Proceeds of the land sale will be used towards funding mental health resources, then 25% designated to MH when the property tax is paid - not sure if it was statewide or just for Utah County. Another component of the bill was a MH treatment study that would be conducted in Dec. 2025, 6 months after the sale. The bill also changes the civil commitment code. It creates a discharge plan the local mental health authority must provide to the patient at the time of release. Use of peer support 48 hours after discharge from the facility. Adds more pathways for a person to be civially committed - lack the ability to provide basic needs, not showing sufficient behavior changes in enaging in criminal activity (repeat crimes). Court with keep a list of all people who have been civilly committed, but not able to provide treatment for, will follow the new sentencing guidelines CCJJ implemented - 10 criminal within the last 5 years, 1 being a felony. The court will send the list the local MH authority for them to provide services for each individual.</v>
      </c>
    </row>
    <row r="14" spans="1:14" ht="210">
      <c r="A14" s="9" t="s">
        <v>27</v>
      </c>
      <c r="B14" s="4" t="str">
        <f>VLOOKUP(Table2[[#This Row],[Bill ID]], [1]!Bills[#Data], 2, FALSE)</f>
        <v>Commission on Housing Affordability Modifications</v>
      </c>
      <c r="C14" s="3" t="str">
        <f>VLOOKUP(Table2[[#This Row],[Bill ID]], [1]!Bills[#Data], 3, FALSE)</f>
        <v>This bill modifies the membership of the Commission on Housing Affordability.</v>
      </c>
      <c r="D14" s="3" t="str">
        <f>VLOOKUP(Table2[[#This Row],[Bill ID]], [1]!Bills[#Data], 4, FALSE)</f>
        <v>This bill:
modifies the membership of the Commission on Housing Affordability by adding two members; and
makes technical changes.</v>
      </c>
      <c r="E14" s="3" t="str">
        <f>VLOOKUP(Table2[[#This Row],[Bill ID]], [1]!Bills[#Data], 7, FALSE)</f>
        <v>House/ 1st reading (Introduced)</v>
      </c>
      <c r="F14" s="3" t="str">
        <f>VLOOKUP(Table2[[#This Row],[Bill ID]], [1]!Bills[#Data], 10, FALSE)</f>
        <v>Joel K. Briscoe</v>
      </c>
      <c r="G14" s="3" t="str">
        <f>VLOOKUP(Table2[[#This Row],[Bill ID]], [1]!Bills[#Data], 11, FALSE)</f>
        <v/>
      </c>
      <c r="H14" s="3" t="str">
        <f>IF(VLOOKUP(Table2[[#This Row],[Bill ID]], [1]!Bills[#Data], 14, FALSE)=0, "", VLOOKUP(Table2[[#This Row],[Bill ID]], [1]!Bills[#Data], 14, FALSE))</f>
        <v/>
      </c>
      <c r="I14" s="2">
        <v>6</v>
      </c>
      <c r="J14" s="2" t="str">
        <f>VLOOKUP(Table2[[#This Row],[Bill ID]], [1]!Bills[#Data], 8, FALSE)</f>
        <v/>
      </c>
      <c r="K14" s="2" t="str">
        <f>VLOOKUP(Table2[[#This Row],[Bill ID]], [1]!Bills[#Data], 9, FALSE)</f>
        <v/>
      </c>
      <c r="L14" s="2" t="str">
        <f>VLOOKUP(Table2[[#This Row],[Bill ID]], [1]!Bills[#Data], 6, FALSE)</f>
        <v>HO; AH</v>
      </c>
      <c r="M14" s="3" t="str">
        <f>IF(VLOOKUP(Table2[[#This Row],[Bill ID]], [1]!Bills[#Data], 15, FALSE)=0, "", VLOOKUP(Table2[[#This Row],[Bill ID]], [1]!Bills[#Data], 15, FALSE))</f>
        <v/>
      </c>
    </row>
    <row r="15" spans="1:14" ht="75">
      <c r="A15" s="9" t="s">
        <v>28</v>
      </c>
      <c r="B15" s="4" t="str">
        <f>VLOOKUP(Table2[[#This Row],[Bill ID]], [1]!Bills[#Data], 2, FALSE)</f>
        <v>Homeless Services Funding Amendments</v>
      </c>
      <c r="C15" s="3" t="str">
        <f>VLOOKUP(Table2[[#This Row],[Bill ID]], [1]!Bills[#Data], 3, FALSE)</f>
        <v>This bill authorizes the Utah Homeless Network Steering Committee to develop a funding formula.</v>
      </c>
      <c r="D15" s="3" t="str">
        <f>VLOOKUP(Table2[[#This Row],[Bill ID]], [1]!Bills[#Data], 4, FALSE)</f>
        <v>This bill:
authorizes the Utah Homeless Network Steering Committee to develop a funding formula for the provision of homeless services;
describes the criteria the Utah Homeless Network Steering Committee shall use in developing a funding formula for the provision of homeless services;
requires the Utah Homelessness Council to approve any funding formula developed by the Utah Homeless Network Steering Committee by a two-thirds vote;
requires the state homelessness coordinator to utilize an approved funding formula in disbursing funds for the provision of homeless services; and
makes technical changes.</v>
      </c>
      <c r="E15" s="3" t="str">
        <f>VLOOKUP(Table2[[#This Row],[Bill ID]], [1]!Bills[#Data], 7, FALSE)</f>
        <v>LFA/ fiscal note sent to sponsor</v>
      </c>
      <c r="F15" s="3" t="str">
        <f>VLOOKUP(Table2[[#This Row],[Bill ID]], [1]!Bills[#Data], 10, FALSE)</f>
        <v>Mark A. Strong</v>
      </c>
      <c r="G15" s="3" t="str">
        <f>VLOOKUP(Table2[[#This Row],[Bill ID]], [1]!Bills[#Data], 11, FALSE)</f>
        <v/>
      </c>
      <c r="H15" s="3" t="str">
        <f>IF(VLOOKUP(Table2[[#This Row],[Bill ID]], [1]!Bills[#Data], 14, FALSE)=0, "", VLOOKUP(Table2[[#This Row],[Bill ID]], [1]!Bills[#Data], 14, FALSE))</f>
        <v/>
      </c>
      <c r="I15" s="2">
        <v>6</v>
      </c>
      <c r="J15" s="2" t="str">
        <f>VLOOKUP(Table2[[#This Row],[Bill ID]], [1]!Bills[#Data], 8, FALSE)</f>
        <v/>
      </c>
      <c r="K15" s="2" t="str">
        <f>VLOOKUP(Table2[[#This Row],[Bill ID]], [1]!Bills[#Data], 9, FALSE)</f>
        <v/>
      </c>
      <c r="L15" s="2" t="str">
        <f>VLOOKUP(Table2[[#This Row],[Bill ID]], [1]!Bills[#Data], 6, FALSE)</f>
        <v>HO</v>
      </c>
      <c r="M15" s="3" t="str">
        <f>IF(VLOOKUP(Table2[[#This Row],[Bill ID]], [1]!Bills[#Data], 15, FALSE)=0, "", VLOOKUP(Table2[[#This Row],[Bill ID]], [1]!Bills[#Data], 15, FALSE))</f>
        <v/>
      </c>
    </row>
    <row r="16" spans="1:14" ht="100.5" customHeight="1">
      <c r="A16" s="9" t="s">
        <v>29</v>
      </c>
      <c r="B16" s="4" t="str">
        <f>VLOOKUP(Table2[[#This Row],[Bill ID]], [1]!Bills[#Data], 2, FALSE)</f>
        <v>Behavioral Health Crisis Response Modifications</v>
      </c>
      <c r="C16" s="3" t="str">
        <f>VLOOKUP(Table2[[#This Row],[Bill ID]], [1]!Bills[#Data], 3, FALSE)</f>
        <v>This bill addresses receiving centers and mobile crisis outreach teams.</v>
      </c>
      <c r="D16" s="3" t="str">
        <f>VLOOKUP(Table2[[#This Row],[Bill ID]], [1]!Bills[#Data], 4, FALSE)</f>
        <v xml:space="preserve">This bill:
provides for the award of grants for the development of mobile crisis outreach teams and rural behavioral health receiving centers; and
makes technical and conforming changes. </v>
      </c>
      <c r="E16" s="3" t="str">
        <f>VLOOKUP(Table2[[#This Row],[Bill ID]], [1]!Bills[#Data], 7, FALSE)</f>
        <v>House/ 2nd reading</v>
      </c>
      <c r="F16" s="3" t="str">
        <f>VLOOKUP(Table2[[#This Row],[Bill ID]], [1]!Bills[#Data], 10, FALSE)</f>
        <v>Steve Eliason</v>
      </c>
      <c r="G16" s="3" t="str">
        <f>VLOOKUP(Table2[[#This Row],[Bill ID]], [1]!Bills[#Data], 11, FALSE)</f>
        <v>Daniel W. Thatcher</v>
      </c>
      <c r="H16" s="3" t="str">
        <f>IF(VLOOKUP(Table2[[#This Row],[Bill ID]], [1]!Bills[#Data], 14, FALSE)=0, "", VLOOKUP(Table2[[#This Row],[Bill ID]], [1]!Bills[#Data], 14, FALSE))</f>
        <v/>
      </c>
      <c r="I16" s="2">
        <v>6</v>
      </c>
      <c r="J16" s="2" t="str">
        <f>VLOOKUP(Table2[[#This Row],[Bill ID]], [1]!Bills[#Data], 8, FALSE)</f>
        <v>USAAV; VIC</v>
      </c>
      <c r="K16" s="2" t="str">
        <f>VLOOKUP(Table2[[#This Row],[Bill ID]], [1]!Bills[#Data], 9, FALSE)</f>
        <v/>
      </c>
      <c r="L16" s="2" t="str">
        <f>VLOOKUP(Table2[[#This Row],[Bill ID]], [1]!Bills[#Data], 6, FALSE)</f>
        <v>CJ; HO; BH</v>
      </c>
      <c r="M16" s="3" t="str">
        <f>IF(VLOOKUP(Table2[[#This Row],[Bill ID]], [1]!Bills[#Data], 15, FALSE)=0, "", VLOOKUP(Table2[[#This Row],[Bill ID]], [1]!Bills[#Data], 15, FALSE))</f>
        <v/>
      </c>
    </row>
    <row r="17" spans="1:13" ht="75">
      <c r="A17" s="9" t="s">
        <v>30</v>
      </c>
      <c r="B17" s="4" t="str">
        <f>VLOOKUP(Table2[[#This Row],[Bill ID]], [1]!Bills[#Data], 2, FALSE)</f>
        <v>Health and Human Services Amendments</v>
      </c>
      <c r="C17" s="3" t="str">
        <f>VLOOKUP(Table2[[#This Row],[Bill ID]], [1]!Bills[#Data], 3, FALSE)</f>
        <v>This bill clarifies and amends provisions affecting the Department of Health and Human Services.</v>
      </c>
      <c r="D17" s="3" t="str">
        <f>VLOOKUP(Table2[[#This Row],[Bill ID]], [1]!Bills[#Data], 4, FALSE)</f>
        <v>This bill:
defines terms;
makes technical and corresponding amendments;
clarifies provisions that the Department of Health and Human Services has identified as not applicable or incongruous after the 2023 recodification pertaining to health and human services;
creates the Division of Health Access within the Department of Health and Human Services;
removes the authority of the chair of the Utah Substance Use and Mental Health Advisory Council to establish the goals and budget for an application for a federal grant, in a situation where the six-member committee comprised of individuals from the Department of Health and Human Services and local health departments is unable to agree by two-thirds majority on the goals and budget for a reviewable application for a federal grant;
modifies the prescribed procedures for the Department of Health and Family Services' review of an individual's appeal of the Compassionate Use Board's denial of the individual's application for a medical cannabis card;
creates the Office of Licensing within the Division of Licensing and Background Checks;
creates the Office of Background Processing within the Division of Licensing and Background Checks;
removes education, experience, and knowledge requirements to serve as the director of Division of Licensing and Background Checks;
modifies the definition of "applicant" for individual's seeking approval to have direct access to children or vulnerable adults;
modifies the terms of background checks and ongoing fingerprint monitoring to which an applicant must consent in connection with applying to the Office of Background Processing for direct access to children or vulnerable adults;
requires the Office of Background Processing to search the Sex and Kidnap Offender Registry as part of its duties in performing a background check;
prescribes other procedures for the Office of Background Processing to follow in performing a background check;
modifies the parameters under which an applicant with a criminal history, or an applicant who is listed on a child abuse and neglect registry of any state, is screened by the Office of Background Processing or may qualify for direct access to children and vulnerable adults;
modifies the numerical limit of foster children who may reside in a home, and establishes when those limits may be exceeded;
reduces from two years (i.e. 730 days) to 180 days the length of time a certification for direct patient access is valid before renewal is required;
modifies the definition of "rural county" to mean counties of the first through third classes (i.e. counties with populations less than 175,000) and no longer to mean counties with a population less than 50,000;
modifies the definition of "rural hospital" as a result of modifying the definition of "rural county;"
removes the requirement that the executive director of the Department of Health and Human Services consider the advice of the chairman of the Department of Pathology at the University of Utah and the dean of the law school at the University of Utah;
requires that a county executive obtain the approval of the state's chief medical examiner before appointing a county medical examiner;
clarifies which records of a medical examiner are subject to production by the medical examiner, when a portion of the medical examiner's record relates to an issue of public health or safety;
permits a medical examiner, prior to taking required steps pertaining to identification of an unidentified body, to release the unidentified body to the county in which the body was found;
removes the requirement that a county or funeral director adopt the identification number the medical examiner assigned to an unidentified body;
removes the requirement that a county inform the medical examiner of certain information pertaining to the county's disposition of an unidentified body;
removes the requirement that a medical examiner maintain a file for unidentified bodies;
expands the scope of individuals from whom a psychological autopsy examiner may gather information regarding a decedent's death; and
expands the scope of information a psychological autopsy examiner may gather regarding a decedent's death.</v>
      </c>
      <c r="E17" s="3" t="str">
        <f>VLOOKUP(Table2[[#This Row],[Bill ID]], [1]!Bills[#Data], 7, FALSE)</f>
        <v>LFA/ fiscal note publicly available</v>
      </c>
      <c r="F17" s="3" t="str">
        <f>VLOOKUP(Table2[[#This Row],[Bill ID]], [1]!Bills[#Data], 10, FALSE)</f>
        <v>Michael S. Kennedy</v>
      </c>
      <c r="G17" s="3" t="str">
        <f>VLOOKUP(Table2[[#This Row],[Bill ID]], [1]!Bills[#Data], 11, FALSE)</f>
        <v>Steve Eliason</v>
      </c>
      <c r="H17" s="3" t="str">
        <f>IF(VLOOKUP(Table2[[#This Row],[Bill ID]], [1]!Bills[#Data], 14, FALSE)=0, "", VLOOKUP(Table2[[#This Row],[Bill ID]], [1]!Bills[#Data], 14, FALSE))</f>
        <v/>
      </c>
      <c r="I17" s="2">
        <v>6</v>
      </c>
      <c r="J17" s="2" t="str">
        <f>VLOOKUP(Table2[[#This Row],[Bill ID]], [1]!Bills[#Data], 8, FALSE)</f>
        <v/>
      </c>
      <c r="K17" s="2" t="str">
        <f>VLOOKUP(Table2[[#This Row],[Bill ID]], [1]!Bills[#Data], 9, FALSE)</f>
        <v/>
      </c>
      <c r="L17" s="2" t="str">
        <f>VLOOKUP(Table2[[#This Row],[Bill ID]], [1]!Bills[#Data], 6, FALSE)</f>
        <v>CJ; HO; SS; BH; PS</v>
      </c>
      <c r="M17" s="3" t="str">
        <f>IF(VLOOKUP(Table2[[#This Row],[Bill ID]], [1]!Bills[#Data], 15, FALSE)=0, "", VLOOKUP(Table2[[#This Row],[Bill ID]], [1]!Bills[#Data], 15, FALSE))</f>
        <v>Peer support background check concern: This bill would require background checks for peer support specialists who work with children and "vulnerable adults," defined as anyone with a temporary or permanent mental or physical impairment that substationally affects their ability to: 
* provide personal protection
* provide necessities such as food, shelter, clothing, or mental or other care
* obtain services necessary for health, safety, or welfare
* carry out the activities of daily living
* manage the adult's own resources
* comprehend the nature and consequences of remaining in a situaiton of abuse, neglect, or exploitation</v>
      </c>
    </row>
    <row r="18" spans="1:13" ht="110.45" customHeight="1">
      <c r="A18" s="9" t="s">
        <v>31</v>
      </c>
      <c r="B18" s="4" t="str">
        <f>VLOOKUP(Table2[[#This Row],[Bill ID]], [1]!Bills[#Data], 2, FALSE)</f>
        <v>Penalty for False Statement During Drug Arrest</v>
      </c>
      <c r="C18" s="3" t="str">
        <f>VLOOKUP(Table2[[#This Row],[Bill ID]], [1]!Bills[#Data], 3, FALSE)</f>
        <v>This bill modifies offenses related to giving false information to a law enforcement officer.</v>
      </c>
      <c r="D18" s="3" t="str">
        <f>VLOOKUP(Table2[[#This Row],[Bill ID]], [1]!Bills[#Data], 4, FALSE)</f>
        <v>This bill:
makes it a crime for an actor arrested for a crime to falsely claim the actor ingested drugs before the arrest; and
makes technical and conforming changes.</v>
      </c>
      <c r="E18" s="3" t="str">
        <f>VLOOKUP(Table2[[#This Row],[Bill ID]], [1]!Bills[#Data], 7, FALSE)</f>
        <v>House/ 2nd reading</v>
      </c>
      <c r="F18" s="3" t="str">
        <f>VLOOKUP(Table2[[#This Row],[Bill ID]], [1]!Bills[#Data], 10, FALSE)</f>
        <v>Ken Ivory</v>
      </c>
      <c r="G18" s="3" t="str">
        <f>VLOOKUP(Table2[[#This Row],[Bill ID]], [1]!Bills[#Data], 11, FALSE)</f>
        <v/>
      </c>
      <c r="H18" s="3" t="str">
        <f>IF(VLOOKUP(Table2[[#This Row],[Bill ID]], [1]!Bills[#Data], 14, FALSE)=0, "", VLOOKUP(Table2[[#This Row],[Bill ID]], [1]!Bills[#Data], 14, FALSE))</f>
        <v/>
      </c>
      <c r="I18" s="2">
        <v>5</v>
      </c>
      <c r="J18" s="2" t="str">
        <f>VLOOKUP(Table2[[#This Row],[Bill ID]], [1]!Bills[#Data], 8, FALSE)</f>
        <v/>
      </c>
      <c r="K18" s="2" t="str">
        <f>VLOOKUP(Table2[[#This Row],[Bill ID]], [1]!Bills[#Data], 9, FALSE)</f>
        <v/>
      </c>
      <c r="L18" s="2" t="str">
        <f>VLOOKUP(Table2[[#This Row],[Bill ID]], [1]!Bills[#Data], 6, FALSE)</f>
        <v>CJ; LE; DX; MO</v>
      </c>
      <c r="M18" s="3" t="str">
        <f>IF(VLOOKUP(Table2[[#This Row],[Bill ID]], [1]!Bills[#Data], 15, FALSE)=0, "", VLOOKUP(Table2[[#This Row],[Bill ID]], [1]!Bills[#Data], 15, FALSE))</f>
        <v/>
      </c>
    </row>
    <row r="19" spans="1:13" ht="105">
      <c r="A19" s="9" t="s">
        <v>32</v>
      </c>
      <c r="B19" s="4" t="str">
        <f>VLOOKUP(Table2[[#This Row],[Bill ID]], [1]!Bills[#Data], 2, FALSE)</f>
        <v>Involuntary Commitment Amendments</v>
      </c>
      <c r="C19" s="3" t="str">
        <f>VLOOKUP(Table2[[#This Row],[Bill ID]], [1]!Bills[#Data], 3, FALSE)</f>
        <v>This bill amends the criteria for involuntary civil commitment.</v>
      </c>
      <c r="D19" s="3" t="str">
        <f>VLOOKUP(Table2[[#This Row],[Bill ID]], [1]!Bills[#Data], 4, FALSE)</f>
        <v>This bill:
in certain circumstances, provides for the court-ordered civil commitment of an individual who:
      • has been charged with a crime;
      • is incompetent to proceed;
      • has a mental illness; and
      • has been diagnosed with anosognosia or unreasonably refused to undergo mental health treatment;
provides a severability clause; and
makes technical and conforming changes.</v>
      </c>
      <c r="E19" s="3" t="str">
        <f>VLOOKUP(Table2[[#This Row],[Bill ID]], [1]!Bills[#Data], 7, FALSE)</f>
        <v>House/ received fiscal note from Fiscal Analyst</v>
      </c>
      <c r="F19" s="3" t="str">
        <f>VLOOKUP(Table2[[#This Row],[Bill ID]], [1]!Bills[#Data], 10, FALSE)</f>
        <v>Nelson T. Abbott</v>
      </c>
      <c r="G19" s="3" t="str">
        <f>VLOOKUP(Table2[[#This Row],[Bill ID]], [1]!Bills[#Data], 11, FALSE)</f>
        <v/>
      </c>
      <c r="H19" s="3" t="str">
        <f>IF(VLOOKUP(Table2[[#This Row],[Bill ID]], [1]!Bills[#Data], 14, FALSE)=0, "", VLOOKUP(Table2[[#This Row],[Bill ID]], [1]!Bills[#Data], 14, FALSE))</f>
        <v/>
      </c>
      <c r="I19" s="2">
        <v>5</v>
      </c>
      <c r="J19" s="2" t="str">
        <f>VLOOKUP(Table2[[#This Row],[Bill ID]], [1]!Bills[#Data], 8, FALSE)</f>
        <v/>
      </c>
      <c r="K19" s="2" t="str">
        <f>VLOOKUP(Table2[[#This Row],[Bill ID]], [1]!Bills[#Data], 9, FALSE)</f>
        <v/>
      </c>
      <c r="L19" s="2" t="str">
        <f>VLOOKUP(Table2[[#This Row],[Bill ID]], [1]!Bills[#Data], 6, FALSE)</f>
        <v>CJ; HO; BH; CC</v>
      </c>
      <c r="M19" s="3" t="str">
        <f>IF(VLOOKUP(Table2[[#This Row],[Bill ID]], [1]!Bills[#Data], 15, FALSE)=0, "", VLOOKUP(Table2[[#This Row],[Bill ID]], [1]!Bills[#Data], 15, FALSE))</f>
        <v/>
      </c>
    </row>
    <row r="20" spans="1:13" ht="120">
      <c r="A20" s="9" t="s">
        <v>33</v>
      </c>
      <c r="B20" s="4" t="str">
        <f>VLOOKUP(Table2[[#This Row],[Bill ID]], [1]!Bills[#Data], 2, FALSE)</f>
        <v>Joint Resolution Amending Court Rules of Procedure and Evidence Regarding Preliminary Hearings</v>
      </c>
      <c r="C20" s="3" t="str">
        <f>VLOOKUP(Table2[[#This Row],[Bill ID]], [1]!Bills[#Data], 3, FALSE)</f>
        <v>This joint resolution amends court rules of procedure and evidence regarding preliminary hearings.</v>
      </c>
      <c r="D20" s="3" t="str">
        <f>VLOOKUP(Table2[[#This Row],[Bill ID]], [1]!Bills[#Data], 4, FALSE)</f>
        <v>This joint resolution:
amends Rule 7B of the Utah Rules of Criminal Procedure to address the use of hearsay evidence for a probable cause determination at a preliminary hearing; and
amends Rule 1102 of the Utah Rules of Evidence to address the admission of reliable hearsay evidence at a preliminary hearing.&lt;ltapprop&gt;None&lt;/ltapprop&gt;</v>
      </c>
      <c r="E20" s="3" t="str">
        <f>VLOOKUP(Table2[[#This Row],[Bill ID]], [1]!Bills[#Data], 7, FALSE)</f>
        <v>House/ received fiscal note from Fiscal Analyst</v>
      </c>
      <c r="F20" s="3" t="str">
        <f>VLOOKUP(Table2[[#This Row],[Bill ID]], [1]!Bills[#Data], 10, FALSE)</f>
        <v>Tyler Clancy</v>
      </c>
      <c r="G20" s="3" t="str">
        <f>VLOOKUP(Table2[[#This Row],[Bill ID]], [1]!Bills[#Data], 11, FALSE)</f>
        <v>Michael K. McKell</v>
      </c>
      <c r="H20" s="3" t="str">
        <f>IF(VLOOKUP(Table2[[#This Row],[Bill ID]], [1]!Bills[#Data], 14, FALSE)=0, "", VLOOKUP(Table2[[#This Row],[Bill ID]], [1]!Bills[#Data], 14, FALSE))</f>
        <v/>
      </c>
      <c r="I20" s="2">
        <v>5</v>
      </c>
      <c r="J20" s="2" t="str">
        <f>VLOOKUP(Table2[[#This Row],[Bill ID]], [1]!Bills[#Data], 8, FALSE)</f>
        <v/>
      </c>
      <c r="K20" s="2" t="str">
        <f>VLOOKUP(Table2[[#This Row],[Bill ID]], [1]!Bills[#Data], 9, FALSE)</f>
        <v/>
      </c>
      <c r="L20" s="2" t="str">
        <f>VLOOKUP(Table2[[#This Row],[Bill ID]], [1]!Bills[#Data], 6, FALSE)</f>
        <v>CJ; HO; DC; JC; TP</v>
      </c>
      <c r="M20" s="3" t="str">
        <f>IF(VLOOKUP(Table2[[#This Row],[Bill ID]], [1]!Bills[#Data], 15, FALSE)=0, "", VLOOKUP(Table2[[#This Row],[Bill ID]], [1]!Bills[#Data], 15, FALSE))</f>
        <v/>
      </c>
    </row>
    <row r="21" spans="1:13" ht="135">
      <c r="A21" s="9" t="s">
        <v>34</v>
      </c>
      <c r="B21" s="4" t="str">
        <f>VLOOKUP(Table2[[#This Row],[Bill ID]], [1]!Bills[#Data], 2, FALSE)</f>
        <v>Sentencing Modifications for Certain DUI Offenses</v>
      </c>
      <c r="C21" s="3" t="str">
        <f>VLOOKUP(Table2[[#This Row],[Bill ID]], [1]!Bills[#Data], 3, FALSE)</f>
        <v xml:space="preserve">This bill modifies provisions related to negligently operating a vehicle resulting in death. </v>
      </c>
      <c r="D21" s="3" t="str">
        <f>VLOOKUP(Table2[[#This Row],[Bill ID]], [1]!Bills[#Data], 4, FALSE)</f>
        <v xml:space="preserve">This bill:
renames the offense of negligently operating a vehicle resulting in death;
creates a sentencing guideline for automobile homicide;
adds automobile homicide to the list of crimes for which probation, suspension of sentence, a lower category of offense, or hospitalization may not be granted; and
makes technical changes. </v>
      </c>
      <c r="E21" s="3" t="str">
        <f>VLOOKUP(Table2[[#This Row],[Bill ID]], [1]!Bills[#Data], 7, FALSE)</f>
        <v>House Comm - Favorable Recommendation</v>
      </c>
      <c r="F21" s="3" t="str">
        <f>VLOOKUP(Table2[[#This Row],[Bill ID]], [1]!Bills[#Data], 10, FALSE)</f>
        <v>Andrew Stoddard</v>
      </c>
      <c r="G21" s="3" t="str">
        <f>VLOOKUP(Table2[[#This Row],[Bill ID]], [1]!Bills[#Data], 11, FALSE)</f>
        <v>Todd D. Weiler</v>
      </c>
      <c r="H21" s="3" t="str">
        <f>IF(VLOOKUP(Table2[[#This Row],[Bill ID]], [1]!Bills[#Data], 14, FALSE)=0, "", VLOOKUP(Table2[[#This Row],[Bill ID]], [1]!Bills[#Data], 14, FALSE))</f>
        <v/>
      </c>
      <c r="I21" s="2">
        <v>5</v>
      </c>
      <c r="J21" s="2" t="str">
        <f>VLOOKUP(Table2[[#This Row],[Bill ID]], [1]!Bills[#Data], 8, FALSE)</f>
        <v/>
      </c>
      <c r="K21" s="2" t="str">
        <f>VLOOKUP(Table2[[#This Row],[Bill ID]], [1]!Bills[#Data], 9, FALSE)</f>
        <v/>
      </c>
      <c r="L21" s="2" t="str">
        <f>VLOOKUP(Table2[[#This Row],[Bill ID]], [1]!Bills[#Data], 6, FALSE)</f>
        <v>CJ; DX; MO; ST</v>
      </c>
      <c r="M21" s="3" t="str">
        <f>IF(VLOOKUP(Table2[[#This Row],[Bill ID]], [1]!Bills[#Data], 15, FALSE)=0, "", VLOOKUP(Table2[[#This Row],[Bill ID]], [1]!Bills[#Data], 15, FALSE))</f>
        <v xml:space="preserve">Concerns on the mandatory min. from 1 to 5 years. Sentencing guidelines changed mandatory mins from 36 mo to 48 mo. Discussion on judge discression and can take away for victims impact on their input for sentencing. Motion for USAAV to support failed - over judge discretion. Motion to hold due to two support motions failed </v>
      </c>
    </row>
    <row r="22" spans="1:13" ht="75">
      <c r="A22" s="9" t="s">
        <v>35</v>
      </c>
      <c r="B22" s="4" t="str">
        <f>VLOOKUP(Table2[[#This Row],[Bill ID]], [1]!Bills[#Data], 2, FALSE)</f>
        <v>Residential Housing Amendments</v>
      </c>
      <c r="C22" s="3" t="str">
        <f>VLOOKUP(Table2[[#This Row],[Bill ID]], [1]!Bills[#Data], 3, FALSE)</f>
        <v xml:space="preserve">This bill modifies provisions relating to municipal zoning districts. </v>
      </c>
      <c r="D22" s="3" t="str">
        <f>VLOOKUP(Table2[[#This Row],[Bill ID]], [1]!Bills[#Data], 4, FALSE)</f>
        <v>This bill:
prohibits certain municipalities from denying approval of a lot, based on lot size, if the lot is at least a specified size;
provides that a starter home, as defined, is a permitted use in residential zones within certain municipalities; and
prohibits the imposition of an impact fee on a starter home unless for specified purposes.</v>
      </c>
      <c r="E22" s="3" t="str">
        <f>VLOOKUP(Table2[[#This Row],[Bill ID]], [1]!Bills[#Data], 7, FALSE)</f>
        <v>House/ to standing committee</v>
      </c>
      <c r="F22" s="3" t="str">
        <f>VLOOKUP(Table2[[#This Row],[Bill ID]], [1]!Bills[#Data], 10, FALSE)</f>
        <v>Raymond P. Ward</v>
      </c>
      <c r="G22" s="3" t="str">
        <f>VLOOKUP(Table2[[#This Row],[Bill ID]], [1]!Bills[#Data], 11, FALSE)</f>
        <v/>
      </c>
      <c r="H22" s="3" t="str">
        <f>IF(VLOOKUP(Table2[[#This Row],[Bill ID]], [1]!Bills[#Data], 14, FALSE)=0, "", VLOOKUP(Table2[[#This Row],[Bill ID]], [1]!Bills[#Data], 14, FALSE))</f>
        <v/>
      </c>
      <c r="I22" s="2">
        <v>4</v>
      </c>
      <c r="J22" s="2" t="str">
        <f>VLOOKUP(Table2[[#This Row],[Bill ID]], [1]!Bills[#Data], 8, FALSE)</f>
        <v/>
      </c>
      <c r="K22" s="2" t="str">
        <f>VLOOKUP(Table2[[#This Row],[Bill ID]], [1]!Bills[#Data], 9, FALSE)</f>
        <v>ULCT</v>
      </c>
      <c r="L22" s="2" t="str">
        <f>VLOOKUP(Table2[[#This Row],[Bill ID]], [1]!Bills[#Data], 6, FALSE)</f>
        <v>HO; AH; HP</v>
      </c>
      <c r="M22" s="3" t="str">
        <f>IF(VLOOKUP(Table2[[#This Row],[Bill ID]], [1]!Bills[#Data], 15, FALSE)=0, "", VLOOKUP(Table2[[#This Row],[Bill ID]], [1]!Bills[#Data], 15, FALSE))</f>
        <v/>
      </c>
    </row>
    <row r="23" spans="1:13" ht="409.5">
      <c r="A23" s="9" t="s">
        <v>36</v>
      </c>
      <c r="B23" s="4" t="str">
        <f>VLOOKUP(Table2[[#This Row],[Bill ID]], [1]!Bills[#Data], 2, FALSE)</f>
        <v>Residential Rental Modifications</v>
      </c>
      <c r="C23" s="3" t="str">
        <f>VLOOKUP(Table2[[#This Row],[Bill ID]], [1]!Bills[#Data], 3, FALSE)</f>
        <v>This bill deals with landlords providing notice to tenants.</v>
      </c>
      <c r="D23" s="3" t="str">
        <f>VLOOKUP(Table2[[#This Row],[Bill ID]], [1]!Bills[#Data], 4, FALSE)</f>
        <v>This bill:
defines terms;
establishes a period of time by which a landlord must provide a notice of rent increase to a tenant; and
makes technical and conforming changes.</v>
      </c>
      <c r="E23" s="3" t="str">
        <f>VLOOKUP(Table2[[#This Row],[Bill ID]], [1]!Bills[#Data], 7, FALSE)</f>
        <v>House/ to standing committee</v>
      </c>
      <c r="F23" s="3" t="str">
        <f>VLOOKUP(Table2[[#This Row],[Bill ID]], [1]!Bills[#Data], 10, FALSE)</f>
        <v>Marsha Judkins</v>
      </c>
      <c r="G23" s="3" t="str">
        <f>VLOOKUP(Table2[[#This Row],[Bill ID]], [1]!Bills[#Data], 11, FALSE)</f>
        <v/>
      </c>
      <c r="H23" s="3" t="str">
        <f>IF(VLOOKUP(Table2[[#This Row],[Bill ID]], [1]!Bills[#Data], 14, FALSE)=0, "", VLOOKUP(Table2[[#This Row],[Bill ID]], [1]!Bills[#Data], 14, FALSE))</f>
        <v/>
      </c>
      <c r="I23" s="2">
        <v>4</v>
      </c>
      <c r="J23" s="2" t="str">
        <f>VLOOKUP(Table2[[#This Row],[Bill ID]], [1]!Bills[#Data], 8, FALSE)</f>
        <v/>
      </c>
      <c r="K23" s="2" t="str">
        <f>VLOOKUP(Table2[[#This Row],[Bill ID]], [1]!Bills[#Data], 9, FALSE)</f>
        <v/>
      </c>
      <c r="L23" s="2" t="str">
        <f>VLOOKUP(Table2[[#This Row],[Bill ID]], [1]!Bills[#Data], 6, FALSE)</f>
        <v>HO; AH; LH</v>
      </c>
      <c r="M23" s="3" t="str">
        <f>IF(VLOOKUP(Table2[[#This Row],[Bill ID]], [1]!Bills[#Data], 15, FALSE)=0, "", VLOOKUP(Table2[[#This Row],[Bill ID]], [1]!Bills[#Data], 15, FALSE))</f>
        <v/>
      </c>
    </row>
    <row r="24" spans="1:13" ht="60">
      <c r="A24" s="9" t="s">
        <v>37</v>
      </c>
      <c r="B24" s="4" t="str">
        <f>VLOOKUP(Table2[[#This Row],[Bill ID]], [1]!Bills[#Data], 2, FALSE)</f>
        <v>Amendments to Expungement</v>
      </c>
      <c r="C24" s="3" t="str">
        <f>VLOOKUP(Table2[[#This Row],[Bill ID]], [1]!Bills[#Data], 3, FALSE)</f>
        <v>This bill addresses the expungement of records.</v>
      </c>
      <c r="D24" s="3" t="str">
        <f>VLOOKUP(Table2[[#This Row],[Bill ID]], [1]!Bills[#Data], 4, FALSE)</f>
        <v>This bill:
repeals sunset dates regarding issuance and filing fees for expungement;
repeals language relating to the suspension of issuance fees for certificates of eligibility for expungement and filing fees for petitions for expungement;
allows a court to issue an order of expungement for a plea in abeyance when the defendant has completed a drug court program and the court dismisses the case against the defendant;
defines terms related to expungement;
amends provisions related to the automatic expungement of a case, including:
      • requiring an individual to submit a form to receive an automatic expungement;
      • prohibiting an automatic expungement if the individual is currently incarcerated, on probation, or on parole, unless the individual is on probation or parole for an infraction, a traffic offense, or a minor regulatory offense;
      • prohibiting an automatic expungement if there is a criminal proceeding pending against the individual for a misdemeanor or felony offense, unless the proceeding is for a traffic offense; and
      • prohibiting an automatic expungement if there is a plea in abeyance pending against the individual for a misdemeanor or felony offense, unless the plea in abeyance is for a traffic offense;
clarifies automatic deletion of a traffic offense;
provides that the Bureau of Criminal Identification notify all state agencies affected by an automatic expungement order, except that the Bureau of Criminal Identification may not notify the Board of Pardons and Parole in certain circumstances;
provides that a state agency expunge all records affected by an automatic expungement order;
does not require a local agency to expunge records that may be affected by an automatic expungement order;
provides that the time period for expunging the conviction of a domestic violence offense is 10 years;
clarifies the certificate of eligibility process;
allows for the waiver of an issuance fee for a certificate of eligibility or a special certificate if a court finds that the individual filing the petition for expungement is indigent;
requires a court to consider the total number of offenses for which an individual has received a certificate of expungement when determining whether the individual is indigent;
requires a subsequent court to waive a filing fee for a petition for expungement if a prior court found the individual to be indigent within 180 days before the filing of the petition for expungement;
clarifies the distribution of an expungement order based on a petition and the expungement of records affected by an expungement order based on a petition;
establishes the priority in how expungement orders are processed by a state or local agency;
requires a state and local agency to develop and implement a process to identify expunged records and keep, index, and maintain all expunged records of arrest;
clarifies the effect of an expungement;
addresses the waiver of a fee for a petition for expungement when the individual has previously received a waiver for a petition for expungement from a prior court;
requires a court to find an individual indigent if the individual submits an affidavit of indigency demonstrating that the individual has an income at or below 250% of the United States poverty level;
requires the Administrative Office of the Courts to include a warning on an affidavit of indigency;
clarifies the expungement of records regarding protective orders, stalking injunctions, and juvenile records;
repeals a statute regarding the time periods for expungement or deletion and identifying and processing clean slate eligible cases; and
makes technical and conforming changes.</v>
      </c>
      <c r="E24" s="3" t="str">
        <f>VLOOKUP(Table2[[#This Row],[Bill ID]], [1]!Bills[#Data], 7, FALSE)</f>
        <v>House/ received fiscal note from Fiscal Analyst</v>
      </c>
      <c r="F24" s="3" t="str">
        <f>VLOOKUP(Table2[[#This Row],[Bill ID]], [1]!Bills[#Data], 10, FALSE)</f>
        <v>Karianne Lisonbee</v>
      </c>
      <c r="G24" s="3" t="str">
        <f>VLOOKUP(Table2[[#This Row],[Bill ID]], [1]!Bills[#Data], 11, FALSE)</f>
        <v/>
      </c>
      <c r="H24" s="3" t="str">
        <f>IF(VLOOKUP(Table2[[#This Row],[Bill ID]], [1]!Bills[#Data], 14, FALSE)=0, "", VLOOKUP(Table2[[#This Row],[Bill ID]], [1]!Bills[#Data], 14, FALSE))</f>
        <v/>
      </c>
      <c r="I24" s="2">
        <v>4</v>
      </c>
      <c r="J24" s="2" t="str">
        <f>VLOOKUP(Table2[[#This Row],[Bill ID]], [1]!Bills[#Data], 8, FALSE)</f>
        <v/>
      </c>
      <c r="K24" s="2" t="str">
        <f>VLOOKUP(Table2[[#This Row],[Bill ID]], [1]!Bills[#Data], 9, FALSE)</f>
        <v/>
      </c>
      <c r="L24" s="2" t="str">
        <f>VLOOKUP(Table2[[#This Row],[Bill ID]], [1]!Bills[#Data], 6, FALSE)</f>
        <v>CJ; EX</v>
      </c>
      <c r="M24" s="3" t="str">
        <f>IF(VLOOKUP(Table2[[#This Row],[Bill ID]], [1]!Bills[#Data], 15, FALSE)=0, "", VLOOKUP(Table2[[#This Row],[Bill ID]], [1]!Bills[#Data], 15, FALSE))</f>
        <v/>
      </c>
    </row>
    <row r="25" spans="1:13" ht="150">
      <c r="A25" s="9" t="s">
        <v>38</v>
      </c>
      <c r="B25" s="4" t="str">
        <f>VLOOKUP(Table2[[#This Row],[Bill ID]], [1]!Bills[#Data], 2, FALSE)</f>
        <v>Overdose Outreach Provider Amendments</v>
      </c>
      <c r="C25" s="3" t="str">
        <f>VLOOKUP(Table2[[#This Row],[Bill ID]], [1]!Bills[#Data], 3, FALSE)</f>
        <v>This bill modifies provisions related to overdose outreach providers.</v>
      </c>
      <c r="D25" s="3" t="str">
        <f>VLOOKUP(Table2[[#This Row],[Bill ID]], [1]!Bills[#Data], 4, FALSE)</f>
        <v>This bill:
adds peer support specialists, social workers, and substance use disorder counselors to the definition of overdose outreach provider.</v>
      </c>
      <c r="E25" s="3" t="str">
        <f>VLOOKUP(Table2[[#This Row],[Bill ID]], [1]!Bills[#Data], 7, FALSE)</f>
        <v>Senate/ placed on 2nd Reading Calendar</v>
      </c>
      <c r="F25" s="3" t="str">
        <f>VLOOKUP(Table2[[#This Row],[Bill ID]], [1]!Bills[#Data], 10, FALSE)</f>
        <v>Jen Plumb</v>
      </c>
      <c r="G25" s="3" t="str">
        <f>VLOOKUP(Table2[[#This Row],[Bill ID]], [1]!Bills[#Data], 11, FALSE)</f>
        <v/>
      </c>
      <c r="H25" s="3" t="str">
        <f>IF(VLOOKUP(Table2[[#This Row],[Bill ID]], [1]!Bills[#Data], 14, FALSE)=0, "", VLOOKUP(Table2[[#This Row],[Bill ID]], [1]!Bills[#Data], 14, FALSE))</f>
        <v/>
      </c>
      <c r="I25" s="2">
        <v>4</v>
      </c>
      <c r="J25" s="2" t="str">
        <f>VLOOKUP(Table2[[#This Row],[Bill ID]], [1]!Bills[#Data], 8, FALSE)</f>
        <v>USAAV</v>
      </c>
      <c r="K25" s="2" t="str">
        <f>VLOOKUP(Table2[[#This Row],[Bill ID]], [1]!Bills[#Data], 9, FALSE)</f>
        <v/>
      </c>
      <c r="L25" s="2" t="str">
        <f>VLOOKUP(Table2[[#This Row],[Bill ID]], [1]!Bills[#Data], 6, FALSE)</f>
        <v>CJ; HO; DX; PS</v>
      </c>
      <c r="M25" s="3" t="str">
        <f>IF(VLOOKUP(Table2[[#This Row],[Bill ID]], [1]!Bills[#Data], 15, FALSE)=0, "", VLOOKUP(Table2[[#This Row],[Bill ID]], [1]!Bills[#Data], 15, FALSE))</f>
        <v/>
      </c>
    </row>
    <row r="26" spans="1:13" ht="390" customHeight="1">
      <c r="A26" s="9" t="s">
        <v>39</v>
      </c>
      <c r="B26" s="4" t="str">
        <f>VLOOKUP(Table2[[#This Row],[Bill ID]], [1]!Bills[#Data], 2, FALSE)</f>
        <v>Homelessness Revisions</v>
      </c>
      <c r="C26" s="3" t="str">
        <f>VLOOKUP(Table2[[#This Row],[Bill ID]], [1]!Bills[#Data], 3, FALSE)</f>
        <v>This bill modifies provisions related to addressing homelessness.</v>
      </c>
      <c r="D26" s="3" t="str">
        <f>VLOOKUP(Table2[[#This Row],[Bill ID]], [1]!Bills[#Data], 4, FALSE)</f>
        <v>This bill:
defines terms;
changes the membership of the Utah Homelessness Council;
changes the membership of the executive committee of the Utah Homelessness Council;
modifies the annual local contribution formula that local governments provide to the Homeless Shelter Cities Mitigation Restricted Account; and
makes technical and conforming changes.</v>
      </c>
      <c r="E26" s="3" t="str">
        <f>VLOOKUP(Table2[[#This Row],[Bill ID]], [1]!Bills[#Data], 7, FALSE)</f>
        <v>House/ received fiscal note from Fiscal Analyst</v>
      </c>
      <c r="F26" s="3" t="str">
        <f>VLOOKUP(Table2[[#This Row],[Bill ID]], [1]!Bills[#Data], 10, FALSE)</f>
        <v>Nelson T. Abbott</v>
      </c>
      <c r="G26" s="3" t="str">
        <f>VLOOKUP(Table2[[#This Row],[Bill ID]], [1]!Bills[#Data], 11, FALSE)</f>
        <v/>
      </c>
      <c r="H26" s="3" t="str">
        <f>IF(VLOOKUP(Table2[[#This Row],[Bill ID]], [1]!Bills[#Data], 14, FALSE)=0, "", VLOOKUP(Table2[[#This Row],[Bill ID]], [1]!Bills[#Data], 14, FALSE))</f>
        <v/>
      </c>
      <c r="I26" s="2">
        <v>3</v>
      </c>
      <c r="J26" s="2" t="str">
        <f>VLOOKUP(Table2[[#This Row],[Bill ID]], [1]!Bills[#Data], 8, FALSE)</f>
        <v/>
      </c>
      <c r="K26" s="2" t="str">
        <f>VLOOKUP(Table2[[#This Row],[Bill ID]], [1]!Bills[#Data], 9, FALSE)</f>
        <v>ULCT</v>
      </c>
      <c r="L26" s="2" t="str">
        <f>VLOOKUP(Table2[[#This Row],[Bill ID]], [1]!Bills[#Data], 6, FALSE)</f>
        <v>HO; ES</v>
      </c>
      <c r="M26" s="3" t="str">
        <f>IF(VLOOKUP(Table2[[#This Row],[Bill ID]], [1]!Bills[#Data], 15, FALSE)=0, "", VLOOKUP(Table2[[#This Row],[Bill ID]], [1]!Bills[#Data], 15, FALSE))</f>
        <v xml:space="preserve">This bill changes the leadership of the Utah Homelessness Council to favor County- over City-level leadership. It also reduces the amount that local governments contribute to the Homeless Shelter Cities Mitigation fund. </v>
      </c>
    </row>
    <row r="27" spans="1:13" ht="105">
      <c r="A27" s="9" t="s">
        <v>40</v>
      </c>
      <c r="B27" s="4" t="str">
        <f>VLOOKUP(Table2[[#This Row],[Bill ID]], [1]!Bills[#Data], 2, FALSE)</f>
        <v>Criminal Offenses Amendments</v>
      </c>
      <c r="C27" s="3" t="str">
        <f>VLOOKUP(Table2[[#This Row],[Bill ID]], [1]!Bills[#Data], 3, FALSE)</f>
        <v>This bill addresses the imposition of an indeterminate prison term for certain criminal offenses.</v>
      </c>
      <c r="D27" s="3" t="str">
        <f>VLOOKUP(Table2[[#This Row],[Bill ID]], [1]!Bills[#Data], 4, FALSE)</f>
        <v>This bill:
requires an indeterminate prison term to be imposed for certain attempt convictions;
repeals a statute allowing probation for certain offenses committed against children; and
makes technical and conforming changes.</v>
      </c>
      <c r="E27" s="3" t="str">
        <f>VLOOKUP(Table2[[#This Row],[Bill ID]], [1]!Bills[#Data], 7, FALSE)</f>
        <v>LFA/ fiscal note sent to sponsor</v>
      </c>
      <c r="F27" s="3" t="str">
        <f>VLOOKUP(Table2[[#This Row],[Bill ID]], [1]!Bills[#Data], 10, FALSE)</f>
        <v>Matthew H. Gwynn</v>
      </c>
      <c r="G27" s="3" t="str">
        <f>VLOOKUP(Table2[[#This Row],[Bill ID]], [1]!Bills[#Data], 11, FALSE)</f>
        <v/>
      </c>
      <c r="H27" s="3" t="str">
        <f>IF(VLOOKUP(Table2[[#This Row],[Bill ID]], [1]!Bills[#Data], 14, FALSE)=0, "", VLOOKUP(Table2[[#This Row],[Bill ID]], [1]!Bills[#Data], 14, FALSE))</f>
        <v/>
      </c>
      <c r="I27" s="2">
        <v>3</v>
      </c>
      <c r="J27" s="2" t="str">
        <f>VLOOKUP(Table2[[#This Row],[Bill ID]], [1]!Bills[#Data], 8, FALSE)</f>
        <v>LELC</v>
      </c>
      <c r="K27" s="2" t="str">
        <f>VLOOKUP(Table2[[#This Row],[Bill ID]], [1]!Bills[#Data], 9, FALSE)</f>
        <v/>
      </c>
      <c r="L27" s="2" t="str">
        <f>VLOOKUP(Table2[[#This Row],[Bill ID]], [1]!Bills[#Data], 6, FALSE)</f>
        <v>CJ; MO; ST; BH</v>
      </c>
      <c r="M27" s="3" t="str">
        <f>IF(VLOOKUP(Table2[[#This Row],[Bill ID]], [1]!Bills[#Data], 15, FALSE)=0, "", VLOOKUP(Table2[[#This Row],[Bill ID]], [1]!Bills[#Data], 15, FALSE))</f>
        <v/>
      </c>
    </row>
    <row r="28" spans="1:13" ht="135">
      <c r="A28" s="9" t="s">
        <v>41</v>
      </c>
      <c r="B28" s="4" t="str">
        <f>VLOOKUP(Table2[[#This Row],[Bill ID]], [1]!Bills[#Data], 2, FALSE)</f>
        <v>Inmate Assignment Amendments</v>
      </c>
      <c r="C28" s="3" t="str">
        <f>VLOOKUP(Table2[[#This Row],[Bill ID]], [1]!Bills[#Data], 3, FALSE)</f>
        <v>This bill addresses inmate housing assignments.</v>
      </c>
      <c r="D28" s="3" t="str">
        <f>VLOOKUP(Table2[[#This Row],[Bill ID]], [1]!Bills[#Data], 4, FALSE)</f>
        <v>This bill:
defines terms;
prohibits, with limited exceptions, the Department of Corrections or a county jail from assigning inmates of the opposite biological sex in the same housing area; and
makes technical and conforming changes.</v>
      </c>
      <c r="E28" s="3" t="str">
        <f>VLOOKUP(Table2[[#This Row],[Bill ID]], [1]!Bills[#Data], 7, FALSE)</f>
        <v>House/ received fiscal note from Fiscal Analyst</v>
      </c>
      <c r="F28" s="3" t="str">
        <f>VLOOKUP(Table2[[#This Row],[Bill ID]], [1]!Bills[#Data], 10, FALSE)</f>
        <v>Karianne Lisonbee</v>
      </c>
      <c r="G28" s="3" t="str">
        <f>VLOOKUP(Table2[[#This Row],[Bill ID]], [1]!Bills[#Data], 11, FALSE)</f>
        <v/>
      </c>
      <c r="H28" s="3" t="str">
        <f>IF(VLOOKUP(Table2[[#This Row],[Bill ID]], [1]!Bills[#Data], 14, FALSE)=0, "", VLOOKUP(Table2[[#This Row],[Bill ID]], [1]!Bills[#Data], 14, FALSE))</f>
        <v xml:space="preserve">House Judiciary Committee [01/30/2024] (1) </v>
      </c>
      <c r="I28" s="2">
        <v>3</v>
      </c>
      <c r="J28" s="2" t="str">
        <f>VLOOKUP(Table2[[#This Row],[Bill ID]], [1]!Bills[#Data], 8, FALSE)</f>
        <v/>
      </c>
      <c r="K28" s="2" t="str">
        <f>VLOOKUP(Table2[[#This Row],[Bill ID]], [1]!Bills[#Data], 9, FALSE)</f>
        <v/>
      </c>
      <c r="L28" s="2" t="str">
        <f>VLOOKUP(Table2[[#This Row],[Bill ID]], [1]!Bills[#Data], 6, FALSE)</f>
        <v>CJ; CE; GS</v>
      </c>
      <c r="M28" s="3" t="str">
        <f>IF(VLOOKUP(Table2[[#This Row],[Bill ID]], [1]!Bills[#Data], 15, FALSE)=0, "", VLOOKUP(Table2[[#This Row],[Bill ID]], [1]!Bills[#Data], 15, FALSE))</f>
        <v/>
      </c>
    </row>
    <row r="29" spans="1:13" ht="45">
      <c r="A29" s="9" t="s">
        <v>42</v>
      </c>
      <c r="B29" s="4" t="str">
        <f>VLOOKUP(Table2[[#This Row],[Bill ID]], [1]!Bills[#Data], 2, FALSE)</f>
        <v>School Threat Penalty Amendments</v>
      </c>
      <c r="C29" s="3" t="str">
        <f>VLOOKUP(Table2[[#This Row],[Bill ID]], [1]!Bills[#Data], 3, FALSE)</f>
        <v>This bill addresses threatening or falsely reporting an emergency at a school.</v>
      </c>
      <c r="D29" s="3" t="str">
        <f>VLOOKUP(Table2[[#This Row],[Bill ID]], [1]!Bills[#Data], 4, FALSE)</f>
        <v>This bill:
requires a student to be suspended or expelled from a public school if the student makes a false emergency report targeted at a school;
enhances the penalties for making a threat against a school;
makes it a second degree felony for an actor to make a false emergency report in certain circumstances; and
makes technical and conforming changes.</v>
      </c>
      <c r="E29" s="3" t="str">
        <f>VLOOKUP(Table2[[#This Row],[Bill ID]], [1]!Bills[#Data], 7, FALSE)</f>
        <v>Senate/ placed on 2nd Reading Calendar</v>
      </c>
      <c r="F29" s="3" t="str">
        <f>VLOOKUP(Table2[[#This Row],[Bill ID]], [1]!Bills[#Data], 10, FALSE)</f>
        <v>Ryan D. Wilcox</v>
      </c>
      <c r="G29" s="3" t="str">
        <f>VLOOKUP(Table2[[#This Row],[Bill ID]], [1]!Bills[#Data], 11, FALSE)</f>
        <v>Don L. Ipson</v>
      </c>
      <c r="H29" s="3" t="str">
        <f>IF(VLOOKUP(Table2[[#This Row],[Bill ID]], [1]!Bills[#Data], 14, FALSE)=0, "", VLOOKUP(Table2[[#This Row],[Bill ID]], [1]!Bills[#Data], 14, FALSE))</f>
        <v/>
      </c>
      <c r="I29" s="2">
        <v>2</v>
      </c>
      <c r="J29" s="2" t="str">
        <f>VLOOKUP(Table2[[#This Row],[Bill ID]], [1]!Bills[#Data], 8, FALSE)</f>
        <v>CCJJ; DA; USC; USAAV; LELC</v>
      </c>
      <c r="K29" s="2" t="str">
        <f>VLOOKUP(Table2[[#This Row],[Bill ID]], [1]!Bills[#Data], 9, FALSE)</f>
        <v/>
      </c>
      <c r="L29" s="2" t="str">
        <f>VLOOKUP(Table2[[#This Row],[Bill ID]], [1]!Bills[#Data], 6, FALSE)</f>
        <v>CJ; MO; SC</v>
      </c>
      <c r="M29" s="3" t="str">
        <f>IF(VLOOKUP(Table2[[#This Row],[Bill ID]], [1]!Bills[#Data], 15, FALSE)=0, "", VLOOKUP(Table2[[#This Row],[Bill ID]], [1]!Bills[#Data], 15, FALSE))</f>
        <v/>
      </c>
    </row>
    <row r="30" spans="1:13" ht="45">
      <c r="A30" s="9" t="s">
        <v>43</v>
      </c>
      <c r="B30" s="4" t="str">
        <f>VLOOKUP(Table2[[#This Row],[Bill ID]], [1]!Bills[#Data], 2, FALSE)</f>
        <v>Electronic Cigarette Requirements</v>
      </c>
      <c r="C30" s="3" t="str">
        <f>VLOOKUP(Table2[[#This Row],[Bill ID]], [1]!Bills[#Data], 3, FALSE)</f>
        <v xml:space="preserve">This bill codifies the nicotine content limit for electronic cigarettes.  </v>
      </c>
      <c r="D30" s="3" t="str">
        <f>VLOOKUP(Table2[[#This Row],[Bill ID]], [1]!Bills[#Data], 4, FALSE)</f>
        <v xml:space="preserve">This bill:
codifies the nicotine content limit for electronic cigarettes. </v>
      </c>
      <c r="E30" s="3" t="str">
        <f>VLOOKUP(Table2[[#This Row],[Bill ID]], [1]!Bills[#Data], 7, FALSE)</f>
        <v>House/ to standing committee</v>
      </c>
      <c r="F30" s="3" t="str">
        <f>VLOOKUP(Table2[[#This Row],[Bill ID]], [1]!Bills[#Data], 10, FALSE)</f>
        <v>Judy Weeks Rohner</v>
      </c>
      <c r="G30" s="3" t="str">
        <f>VLOOKUP(Table2[[#This Row],[Bill ID]], [1]!Bills[#Data], 11, FALSE)</f>
        <v/>
      </c>
      <c r="H30" s="3" t="str">
        <f>IF(VLOOKUP(Table2[[#This Row],[Bill ID]], [1]!Bills[#Data], 14, FALSE)=0, "", VLOOKUP(Table2[[#This Row],[Bill ID]], [1]!Bills[#Data], 14, FALSE))</f>
        <v/>
      </c>
      <c r="I30" s="2">
        <v>1</v>
      </c>
      <c r="J30" s="2" t="str">
        <f>VLOOKUP(Table2[[#This Row],[Bill ID]], [1]!Bills[#Data], 8, FALSE)</f>
        <v>USAAV</v>
      </c>
      <c r="K30" s="2" t="str">
        <f>VLOOKUP(Table2[[#This Row],[Bill ID]], [1]!Bills[#Data], 9, FALSE)</f>
        <v/>
      </c>
      <c r="L30" s="2" t="str">
        <f>VLOOKUP(Table2[[#This Row],[Bill ID]], [1]!Bills[#Data], 6, FALSE)</f>
        <v>HO; DX</v>
      </c>
      <c r="M30" s="3" t="str">
        <f>IF(VLOOKUP(Table2[[#This Row],[Bill ID]], [1]!Bills[#Data], 15, FALSE)=0, "", VLOOKUP(Table2[[#This Row],[Bill ID]], [1]!Bills[#Data], 15, FALSE))</f>
        <v/>
      </c>
    </row>
    <row r="31" spans="1:13" ht="135">
      <c r="A31" s="9" t="s">
        <v>44</v>
      </c>
      <c r="B31" s="4" t="str">
        <f>VLOOKUP(Table2[[#This Row],[Bill ID]], [1]!Bills[#Data], 2, FALSE)</f>
        <v>Electronic Cigarette Amendments</v>
      </c>
      <c r="C31" s="3" t="str">
        <f>VLOOKUP(Table2[[#This Row],[Bill ID]], [1]!Bills[#Data], 3, FALSE)</f>
        <v>This bill codifies the nicotine content limit for electronic cigarettes.</v>
      </c>
      <c r="D31" s="3" t="str">
        <f>VLOOKUP(Table2[[#This Row],[Bill ID]], [1]!Bills[#Data], 4, FALSE)</f>
        <v xml:space="preserve">This bill:
codifies the nicotine content limit for electronic cigarettes. </v>
      </c>
      <c r="E31" s="3" t="str">
        <f>VLOOKUP(Table2[[#This Row],[Bill ID]], [1]!Bills[#Data], 7, FALSE)</f>
        <v>Senate/ to standing committee</v>
      </c>
      <c r="F31" s="3" t="str">
        <f>VLOOKUP(Table2[[#This Row],[Bill ID]], [1]!Bills[#Data], 10, FALSE)</f>
        <v>Jen Plumb</v>
      </c>
      <c r="G31" s="3" t="str">
        <f>VLOOKUP(Table2[[#This Row],[Bill ID]], [1]!Bills[#Data], 11, FALSE)</f>
        <v/>
      </c>
      <c r="H31" s="3" t="str">
        <f>IF(VLOOKUP(Table2[[#This Row],[Bill ID]], [1]!Bills[#Data], 14, FALSE)=0, "", VLOOKUP(Table2[[#This Row],[Bill ID]], [1]!Bills[#Data], 14, FALSE))</f>
        <v/>
      </c>
      <c r="I31" s="2">
        <v>1</v>
      </c>
      <c r="J31" s="2" t="str">
        <f>VLOOKUP(Table2[[#This Row],[Bill ID]], [1]!Bills[#Data], 8, FALSE)</f>
        <v>USAAV</v>
      </c>
      <c r="K31" s="2" t="str">
        <f>VLOOKUP(Table2[[#This Row],[Bill ID]], [1]!Bills[#Data], 9, FALSE)</f>
        <v/>
      </c>
      <c r="L31" s="2" t="str">
        <f>VLOOKUP(Table2[[#This Row],[Bill ID]], [1]!Bills[#Data], 6, FALSE)</f>
        <v>HO; DX</v>
      </c>
      <c r="M31" s="3" t="str">
        <f>IF(VLOOKUP(Table2[[#This Row],[Bill ID]], [1]!Bills[#Data], 15, FALSE)=0, "", VLOOKUP(Table2[[#This Row],[Bill ID]], [1]!Bills[#Data], 15, FALSE))</f>
        <v/>
      </c>
    </row>
  </sheetData>
  <mergeCells count="2">
    <mergeCell ref="A1:B1"/>
    <mergeCell ref="C1:D1"/>
  </mergeCells>
  <hyperlinks>
    <hyperlink ref="A29" r:id="rId1" xr:uid="{049A8B89-302E-40A1-8279-465369489F66}"/>
    <hyperlink ref="A11" r:id="rId2" xr:uid="{7B61F739-5C4A-49B9-8B8A-FE7B5F1FEDA0}"/>
    <hyperlink ref="A16" r:id="rId3" xr:uid="{D3A22587-822A-4D37-9B34-4637E898F4A9}"/>
    <hyperlink ref="A30" r:id="rId4" xr:uid="{1BF86620-C255-4FD6-B914-5B65E94CA5FC}"/>
    <hyperlink ref="A8" r:id="rId5" xr:uid="{E0EA5132-FEB0-48BD-945F-CB8ED2339C69}"/>
    <hyperlink ref="A27" r:id="rId6" xr:uid="{E2DC7FC3-BA04-43E4-AE03-5BB6EB3E70EB}"/>
    <hyperlink ref="A19" r:id="rId7" xr:uid="{C5B16DD4-317F-4743-8066-070F1F603D0E}"/>
    <hyperlink ref="A4" r:id="rId8" xr:uid="{A7C9CC5C-67A1-4B80-B498-6A2DEA9F0445}"/>
    <hyperlink ref="A3" r:id="rId9" xr:uid="{1FC09395-9B82-459B-8C6B-605940CFB79D}"/>
    <hyperlink ref="A13" r:id="rId10" xr:uid="{3B253D41-1FE0-463E-B06E-C238A9A3F0C2}"/>
    <hyperlink ref="A22" r:id="rId11" xr:uid="{5E55AA6D-6D5E-414C-BA1C-0C39B97B30A8}"/>
    <hyperlink ref="A26" r:id="rId12" xr:uid="{E56FB128-7142-435B-AA46-34C55FC81E5C}"/>
    <hyperlink ref="A28" r:id="rId13" xr:uid="{8492E3E6-C88D-4B2D-8EE1-1C0C8769BAF0}"/>
    <hyperlink ref="A9" r:id="rId14" xr:uid="{028CACCC-76C8-4F61-A960-F1A5101C2A30}"/>
    <hyperlink ref="A24" r:id="rId15" xr:uid="{0E94700B-CB4B-4989-9622-9078E90542D0}"/>
    <hyperlink ref="A23" r:id="rId16" xr:uid="{DE60FA0A-815E-4536-8991-55FD0F0550EA}"/>
    <hyperlink ref="A14" r:id="rId17" xr:uid="{AAE728A6-A5E9-40FD-A036-45B41DC0EF3E}"/>
    <hyperlink ref="A20" r:id="rId18" xr:uid="{457364C7-F97B-47AB-8E86-7B97C310ADE5}"/>
    <hyperlink ref="A6" r:id="rId19" xr:uid="{1F349C6A-FDCF-49A2-A28A-6E614CE0A91F}"/>
    <hyperlink ref="A7" r:id="rId20" xr:uid="{82E37709-A5A3-4452-AB9D-C2C286F32C02}"/>
    <hyperlink ref="A17" r:id="rId21" xr:uid="{2D61A212-B9A5-434F-B7ED-726875E6E42F}"/>
    <hyperlink ref="A10" r:id="rId22" xr:uid="{E2019A5D-1593-4726-AB9B-D24ABA0F6380}"/>
    <hyperlink ref="A31" r:id="rId23" xr:uid="{0568629A-2615-4C17-9DCF-82D370414870}"/>
    <hyperlink ref="A25" r:id="rId24" xr:uid="{39A3F01A-A2FA-485F-956B-456C1CED1D6E}"/>
    <hyperlink ref="A15" r:id="rId25" xr:uid="{2D6E09C9-4426-4BF1-8CCD-DC41C04CE8B2}"/>
    <hyperlink ref="A18" r:id="rId26" xr:uid="{92FA0592-C055-4A91-A2AF-711778EE7919}"/>
    <hyperlink ref="A21" r:id="rId27" xr:uid="{862B7E6E-6789-4D82-BA50-E530C76E0D5B}"/>
    <hyperlink ref="A5" r:id="rId28" xr:uid="{56C81CFA-2B59-4588-9CA4-38FE3A080112}"/>
    <hyperlink ref="A12" r:id="rId29" xr:uid="{C52D4CC5-EA7A-433F-A11F-79D82BA20C9C}"/>
  </hyperlinks>
  <pageMargins left="0.7" right="0.7" top="0.75" bottom="0.75" header="0.3" footer="0.3"/>
  <drawing r:id="rId30"/>
  <tableParts count="1">
    <tablePart r:id="rId3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26924f-8d5b-4c89-8f2f-c78fa8f59d53">
      <Terms xmlns="http://schemas.microsoft.com/office/infopath/2007/PartnerControls"/>
    </lcf76f155ced4ddcb4097134ff3c332f>
    <TaxCatchAll xmlns="bd11fb0c-b986-40e8-9838-48a666e4f5f7" xsi:nil="true"/>
    <SharedWithUsers xmlns="bd11fb0c-b986-40e8-9838-48a666e4f5f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743E4BA3BF7B408B43CE7F3078AD5E" ma:contentTypeVersion="15" ma:contentTypeDescription="Create a new document." ma:contentTypeScope="" ma:versionID="c8d7d1cf64ba4c494de75a08628d7043">
  <xsd:schema xmlns:xsd="http://www.w3.org/2001/XMLSchema" xmlns:xs="http://www.w3.org/2001/XMLSchema" xmlns:p="http://schemas.microsoft.com/office/2006/metadata/properties" xmlns:ns2="4526924f-8d5b-4c89-8f2f-c78fa8f59d53" xmlns:ns3="bd11fb0c-b986-40e8-9838-48a666e4f5f7" targetNamespace="http://schemas.microsoft.com/office/2006/metadata/properties" ma:root="true" ma:fieldsID="3fdac21264a2ed8e9f75d9adbc7c9515" ns2:_="" ns3:_="">
    <xsd:import namespace="4526924f-8d5b-4c89-8f2f-c78fa8f59d53"/>
    <xsd:import namespace="bd11fb0c-b986-40e8-9838-48a666e4f5f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26924f-8d5b-4c89-8f2f-c78fa8f59d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4f3bacb-d61b-460b-bb04-1ff40fb9ff4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11fb0c-b986-40e8-9838-48a666e4f5f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951587d-dce5-4b20-989b-4ec6ad766ca0}" ma:internalName="TaxCatchAll" ma:showField="CatchAllData" ma:web="bd11fb0c-b986-40e8-9838-48a666e4f5f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DB88E9-6154-452C-B00A-F90F2C41C72A}"/>
</file>

<file path=customXml/itemProps2.xml><?xml version="1.0" encoding="utf-8"?>
<ds:datastoreItem xmlns:ds="http://schemas.openxmlformats.org/officeDocument/2006/customXml" ds:itemID="{97F968C3-708F-4A8C-A135-BDE016486276}"/>
</file>

<file path=customXml/itemProps3.xml><?xml version="1.0" encoding="utf-8"?>
<ds:datastoreItem xmlns:ds="http://schemas.openxmlformats.org/officeDocument/2006/customXml" ds:itemID="{16A110D9-49DF-4FEF-9DFC-7C1F047586A1}"/>
</file>

<file path=docProps/app.xml><?xml version="1.0" encoding="utf-8"?>
<Properties xmlns="http://schemas.openxmlformats.org/officeDocument/2006/extended-properties" xmlns:vt="http://schemas.openxmlformats.org/officeDocument/2006/docPropsVTypes">
  <Application>Microsoft Excel Online</Application>
  <Manager/>
  <Company>Salt Lake County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L. Green</dc:creator>
  <cp:keywords/>
  <dc:description/>
  <cp:lastModifiedBy/>
  <cp:revision/>
  <dcterms:created xsi:type="dcterms:W3CDTF">2024-01-26T17:09:08Z</dcterms:created>
  <dcterms:modified xsi:type="dcterms:W3CDTF">2024-01-31T19:48:16Z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0x01010059743E4BA3BF7B408B43CE7F3078AD5E</vt:lpwstr>
  </property>
  <property fmtid="{D5CDD505-2E9C-101B-9397-08002B2CF9AE}" pid="3" name="MediaServiceImageTags">
    <vt:lpwstr/>
  </property>
</Properties>
</file>